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PRAY LAYUP" sheetId="1" r:id="rId1"/>
    <sheet name="FILAMENT WINDING" sheetId="2" r:id="rId2"/>
    <sheet name="HAND LAYUP" sheetId="3" r:id="rId3"/>
    <sheet name="CLEANUP EMISSIONS " sheetId="4" r:id="rId4"/>
    <sheet name="TRIM AND GRIND" sheetId="5" r:id="rId5"/>
    <sheet name="STORAGE TANK EMISSIONS" sheetId="6" r:id="rId6"/>
    <sheet name="EMISSION TOTALS" sheetId="7" r:id="rId7"/>
    <sheet name="OFF PROPERTY IMPACTS ANALYSIS" sheetId="8" r:id="rId8"/>
    <sheet name="CAPTURE OF EMISSIONS " sheetId="9" r:id="rId9"/>
  </sheets>
  <definedNames/>
  <calcPr fullCalcOnLoad="1"/>
</workbook>
</file>

<file path=xl/sharedStrings.xml><?xml version="1.0" encoding="utf-8"?>
<sst xmlns="http://schemas.openxmlformats.org/spreadsheetml/2006/main" count="1135" uniqueCount="273">
  <si>
    <t>TABLE 1</t>
  </si>
  <si>
    <t>TABLE 2</t>
  </si>
  <si>
    <t>TABLE 3</t>
  </si>
  <si>
    <t>TABLE 4</t>
  </si>
  <si>
    <t>TABLE 6</t>
  </si>
  <si>
    <t>TABLE 7</t>
  </si>
  <si>
    <t>BOOTH AND BUILDING CAPTURE VELOCITIES</t>
  </si>
  <si>
    <t xml:space="preserve">Emission Capture Criteria  </t>
  </si>
  <si>
    <t>Criteria Source</t>
  </si>
  <si>
    <t>Face Velocity for Capture (ft/min)</t>
  </si>
  <si>
    <t>TCEQ</t>
  </si>
  <si>
    <t xml:space="preserve">Capture velocity guidance  </t>
  </si>
  <si>
    <t>Capture velocity for permanent total enclosures (referenced in 40 CFR 63, Subpart WWWW)</t>
  </si>
  <si>
    <t xml:space="preserve">ACGIH Industrial Ventilation </t>
  </si>
  <si>
    <t>100-200</t>
  </si>
  <si>
    <t>Table 3.1 for spray booths</t>
  </si>
  <si>
    <t xml:space="preserve">Process </t>
  </si>
  <si>
    <t>Ventilation System Flow Rate (CFM)</t>
  </si>
  <si>
    <t>Area of Other Openings(sq. ft.)</t>
  </si>
  <si>
    <t>Total Flow Area (sq. ft.)</t>
  </si>
  <si>
    <t>Face Velocity Across Openings (ft/min)</t>
  </si>
  <si>
    <t xml:space="preserve">VOC Emission Controls Required to Meet Subpart WWWW </t>
  </si>
  <si>
    <t>Applicable Capture Velocity (ft/min)</t>
  </si>
  <si>
    <t>Capture of Emissions</t>
  </si>
  <si>
    <t>NO</t>
  </si>
  <si>
    <t>Number of Openings</t>
  </si>
  <si>
    <t>Opening Width (ft.)</t>
  </si>
  <si>
    <t>Opening Height (ft.)</t>
  </si>
  <si>
    <t>Open Area (sq. ft.)</t>
  </si>
  <si>
    <t>Parameters</t>
  </si>
  <si>
    <t>Data</t>
  </si>
  <si>
    <t>Units</t>
  </si>
  <si>
    <t>Information Source</t>
  </si>
  <si>
    <t>gal/hr</t>
  </si>
  <si>
    <t>gal/yr</t>
  </si>
  <si>
    <t>lbs/gal</t>
  </si>
  <si>
    <t>SHORT TERM AND ANNUAL VOC, EXEMPT SOLVENT AND PM EMISSIONS</t>
  </si>
  <si>
    <t>SHORT TERM AND ANNUAL VOC EMISSIONS</t>
  </si>
  <si>
    <t>MSDS</t>
  </si>
  <si>
    <t>ton/hr</t>
  </si>
  <si>
    <t>ton/yr</t>
  </si>
  <si>
    <t xml:space="preserve">     Gelcoat Application</t>
  </si>
  <si>
    <t xml:space="preserve">     Gelcoat Controlled Spray Application</t>
  </si>
  <si>
    <t xml:space="preserve">     Gelcoat Non-atomized Application</t>
  </si>
  <si>
    <t>YES</t>
  </si>
  <si>
    <t>Short Term Emissions</t>
  </si>
  <si>
    <t>Annual Emissions</t>
  </si>
  <si>
    <t>SHORT TERM AND ANNUAL VOC AND EXEMPT SOLVENT EMISSIONS</t>
  </si>
  <si>
    <t xml:space="preserve">CLEANUP EMISSIONS </t>
  </si>
  <si>
    <t>Maximum Annual Resin Usage</t>
  </si>
  <si>
    <t>Maximum Resin Styrene Content</t>
  </si>
  <si>
    <t>Annual</t>
  </si>
  <si>
    <t>VOC Emissions</t>
  </si>
  <si>
    <t>Max VOC Content</t>
  </si>
  <si>
    <t>Total VOC Emissions</t>
  </si>
  <si>
    <t>(gal/hr)</t>
  </si>
  <si>
    <t>(lbs/gal)</t>
  </si>
  <si>
    <t>(lbs/hr)</t>
  </si>
  <si>
    <t>lbs VOC/hr</t>
  </si>
  <si>
    <t>(gal/yr)</t>
  </si>
  <si>
    <t>(tons/yr)</t>
  </si>
  <si>
    <t>tons VOC/yr</t>
  </si>
  <si>
    <t>(ton/yr)</t>
  </si>
  <si>
    <t>Emission Factor</t>
  </si>
  <si>
    <t>lb/hr</t>
  </si>
  <si>
    <t>(lb/hr)</t>
  </si>
  <si>
    <t>Maximum Annual Acetone Usage</t>
  </si>
  <si>
    <t>Maximum Short Term Acetone Usage</t>
  </si>
  <si>
    <t>Maximum Short Term DBE Usage</t>
  </si>
  <si>
    <t>Maximum Annual DBE Usage</t>
  </si>
  <si>
    <t>Fraction of Acetone Recovered</t>
  </si>
  <si>
    <t>gal/gal</t>
  </si>
  <si>
    <t>Short-Term</t>
  </si>
  <si>
    <t>Exempt Solvent</t>
  </si>
  <si>
    <t>Max Ex Solvent Content</t>
  </si>
  <si>
    <t>Total Exempt Solvent Emissions</t>
  </si>
  <si>
    <t>lbs Exempt Solvent/hr</t>
  </si>
  <si>
    <t>tons Exempt Solvent/yr</t>
  </si>
  <si>
    <t xml:space="preserve">Maximum VOC Content </t>
  </si>
  <si>
    <t>Maximum Exempt Solvent Content</t>
  </si>
  <si>
    <t>Fraction of DBE Recovered</t>
  </si>
  <si>
    <t>Use Rate</t>
  </si>
  <si>
    <t>(lb/lb)</t>
  </si>
  <si>
    <t>1-Fraction Recovered</t>
  </si>
  <si>
    <t>SHORT TERM AND ANNUAL PM EMISSIONS</t>
  </si>
  <si>
    <t xml:space="preserve">TRIM AND GRIND EMISSIONS </t>
  </si>
  <si>
    <t>VOC</t>
  </si>
  <si>
    <t>Emission Rates</t>
  </si>
  <si>
    <t>Operation</t>
  </si>
  <si>
    <t>(tpy)</t>
  </si>
  <si>
    <t>TOTAL</t>
  </si>
  <si>
    <t xml:space="preserve">Exempt Solvent </t>
  </si>
  <si>
    <t>Particulate Matter</t>
  </si>
  <si>
    <t>TABLE 8</t>
  </si>
  <si>
    <t>-</t>
  </si>
  <si>
    <t>PM Emissions</t>
  </si>
  <si>
    <t>(1 - Filter Efficiency)</t>
  </si>
  <si>
    <t>Total PM Emissions</t>
  </si>
  <si>
    <t>lbs PM/hr</t>
  </si>
  <si>
    <t>(%)</t>
  </si>
  <si>
    <t>tons PM/yr</t>
  </si>
  <si>
    <t>Short Term</t>
  </si>
  <si>
    <t>YES/NO</t>
  </si>
  <si>
    <t>Styrene</t>
  </si>
  <si>
    <t>Alpha Methyl Styrene</t>
  </si>
  <si>
    <t>Methyl Methacrylate</t>
  </si>
  <si>
    <t>(lb/ton)</t>
  </si>
  <si>
    <t>Resin Consumption</t>
  </si>
  <si>
    <t>Vendor Data</t>
  </si>
  <si>
    <t>Booth Filter Efficiency</t>
  </si>
  <si>
    <t>Maximum Trim and Grind Operating Schedule</t>
  </si>
  <si>
    <t>hr/yr</t>
  </si>
  <si>
    <t>Facility Operating Schedule</t>
  </si>
  <si>
    <t>(hr/yr)</t>
  </si>
  <si>
    <t>TABLE 5</t>
  </si>
  <si>
    <t xml:space="preserve">STORAGE TANK EMISSIONS </t>
  </si>
  <si>
    <t>gal</t>
  </si>
  <si>
    <t>Turnovers/yr</t>
  </si>
  <si>
    <t>EPA Tanks 4.09</t>
  </si>
  <si>
    <t xml:space="preserve">Tank Operating Schedule </t>
  </si>
  <si>
    <t>Months/yr</t>
  </si>
  <si>
    <t>lb/mo</t>
  </si>
  <si>
    <t>lb/yr</t>
  </si>
  <si>
    <t>Maximum Annual Emission Rate</t>
  </si>
  <si>
    <r>
      <t>Maximum Tank Fill Rate  - FR</t>
    </r>
    <r>
      <rPr>
        <vertAlign val="subscript"/>
        <sz val="10"/>
        <rFont val="Arial"/>
        <family val="2"/>
      </rPr>
      <t>M</t>
    </r>
  </si>
  <si>
    <r>
      <t>Tank Capacity - T</t>
    </r>
    <r>
      <rPr>
        <vertAlign val="subscript"/>
        <sz val="10"/>
        <rFont val="Arial"/>
        <family val="2"/>
      </rPr>
      <t>CG</t>
    </r>
  </si>
  <si>
    <t>Turnovers - N</t>
  </si>
  <si>
    <r>
      <t xml:space="preserve"> Working Loss - Hottest Month - L</t>
    </r>
    <r>
      <rPr>
        <vertAlign val="subscript"/>
        <sz val="10"/>
        <rFont val="Arial"/>
        <family val="2"/>
      </rPr>
      <t>W</t>
    </r>
  </si>
  <si>
    <r>
      <t>Maximum Short Term Emission Rate - L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 L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X FR</t>
    </r>
    <r>
      <rPr>
        <vertAlign val="subscript"/>
        <sz val="10"/>
        <rFont val="Arial"/>
        <family val="2"/>
      </rPr>
      <t xml:space="preserve">M </t>
    </r>
    <r>
      <rPr>
        <sz val="10"/>
        <rFont val="Arial"/>
        <family val="2"/>
      </rPr>
      <t>/ N X T</t>
    </r>
    <r>
      <rPr>
        <vertAlign val="subscript"/>
        <sz val="10"/>
        <rFont val="Arial"/>
        <family val="2"/>
      </rPr>
      <t>CG</t>
    </r>
  </si>
  <si>
    <r>
      <t>L</t>
    </r>
    <r>
      <rPr>
        <vertAlign val="subscript"/>
        <sz val="10"/>
        <rFont val="Arial"/>
        <family val="2"/>
      </rPr>
      <t>W</t>
    </r>
  </si>
  <si>
    <r>
      <t>FR</t>
    </r>
    <r>
      <rPr>
        <vertAlign val="subscript"/>
        <sz val="10"/>
        <rFont val="Arial"/>
        <family val="2"/>
      </rPr>
      <t>M</t>
    </r>
  </si>
  <si>
    <t>N</t>
  </si>
  <si>
    <r>
      <t>T</t>
    </r>
    <r>
      <rPr>
        <vertAlign val="subscript"/>
        <sz val="10"/>
        <rFont val="Arial"/>
        <family val="2"/>
      </rPr>
      <t>CG</t>
    </r>
  </si>
  <si>
    <t>(gal)</t>
  </si>
  <si>
    <t>(Turnovers/yr)</t>
  </si>
  <si>
    <t>(lb/mo)</t>
  </si>
  <si>
    <t>(mo/yr)</t>
  </si>
  <si>
    <t>Operating Schedule</t>
  </si>
  <si>
    <t>(lb/yr)</t>
  </si>
  <si>
    <t xml:space="preserve">Total VOC Emissions </t>
  </si>
  <si>
    <t>ton VOC/yr</t>
  </si>
  <si>
    <t>Unit Conversion</t>
  </si>
  <si>
    <t>ton/lb</t>
  </si>
  <si>
    <t xml:space="preserve">     Manual</t>
  </si>
  <si>
    <t xml:space="preserve">     Manual     </t>
  </si>
  <si>
    <t>Emission Rate</t>
  </si>
  <si>
    <t>(ton/hr)</t>
  </si>
  <si>
    <t>STYRENE EMISSION FACTORS</t>
  </si>
  <si>
    <t>METHYL METHACRYLATE EMISSION FACTORS</t>
  </si>
  <si>
    <t>ALPHA METHYL STRYENE EMISSION FACTORS</t>
  </si>
  <si>
    <t>NO SELECTION NEEDED</t>
  </si>
  <si>
    <t xml:space="preserve">Methyl Methacrylate </t>
  </si>
  <si>
    <t>TOTAL VOC EMISSION RATE =</t>
  </si>
  <si>
    <t>tpy</t>
  </si>
  <si>
    <t>SHORT TERM IMPACTS EVALUATION</t>
  </si>
  <si>
    <r>
      <t>Equipment Cleanup</t>
    </r>
    <r>
      <rPr>
        <vertAlign val="superscript"/>
        <sz val="10"/>
        <color indexed="8"/>
        <rFont val="Arial"/>
        <family val="2"/>
      </rPr>
      <t>1</t>
    </r>
  </si>
  <si>
    <t xml:space="preserve">    and are less than the short term production emission rates .</t>
  </si>
  <si>
    <t>SOURCE</t>
  </si>
  <si>
    <t>WORST-CASE MODELED</t>
  </si>
  <si>
    <t>GROUPING</t>
  </si>
  <si>
    <r>
      <t>UNIT IMPACT</t>
    </r>
    <r>
      <rPr>
        <b/>
        <sz val="10"/>
        <color indexed="8"/>
        <rFont val="Arial"/>
        <family val="2"/>
      </rPr>
      <t xml:space="preserve"> [ug/m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/lb/hr]</t>
    </r>
  </si>
  <si>
    <t>CAS NO.</t>
  </si>
  <si>
    <t>INGREDIENT</t>
  </si>
  <si>
    <t>NAME</t>
  </si>
  <si>
    <t>TYPE</t>
  </si>
  <si>
    <t>EMISSION RATE</t>
  </si>
  <si>
    <t>GLCs</t>
  </si>
  <si>
    <r>
      <t xml:space="preserve"> [LB/HR</t>
    </r>
    <r>
      <rPr>
        <b/>
        <sz val="8"/>
        <color indexed="8"/>
        <rFont val="Arial"/>
        <family val="2"/>
      </rPr>
      <t>]</t>
    </r>
  </si>
  <si>
    <r>
      <t xml:space="preserve"> [ug/m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]</t>
    </r>
  </si>
  <si>
    <t>V</t>
  </si>
  <si>
    <t>67-64-1</t>
  </si>
  <si>
    <t>Acetone</t>
  </si>
  <si>
    <t>P</t>
  </si>
  <si>
    <t>ESL?</t>
  </si>
  <si>
    <t>ESL</t>
  </si>
  <si>
    <r>
      <t>[ug/m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]</t>
    </r>
  </si>
  <si>
    <t>Alpha methyl styrene</t>
  </si>
  <si>
    <t>Methylmethacrylate</t>
  </si>
  <si>
    <t>NA</t>
  </si>
  <si>
    <t>Plastic Resin Dust</t>
  </si>
  <si>
    <t>Dimethyl glutarate</t>
  </si>
  <si>
    <t>Dimethyl succinate</t>
  </si>
  <si>
    <t>Dimethyl adipate</t>
  </si>
  <si>
    <t>1119-40-0</t>
  </si>
  <si>
    <t>106-65-0</t>
  </si>
  <si>
    <t>627-93-0</t>
  </si>
  <si>
    <t>82-62-6</t>
  </si>
  <si>
    <t>100-42-5</t>
  </si>
  <si>
    <t>Wt %</t>
  </si>
  <si>
    <t>DBE Speciation</t>
  </si>
  <si>
    <t>Speciated DBE Emission Rates</t>
  </si>
  <si>
    <t>Species Weight Fraction</t>
  </si>
  <si>
    <t>(Wt %)</t>
  </si>
  <si>
    <t>Max Product Density</t>
  </si>
  <si>
    <t>Density</t>
  </si>
  <si>
    <t>Species Emissions</t>
  </si>
  <si>
    <t>Maximum Amount of Material Processed -Short Term</t>
  </si>
  <si>
    <t xml:space="preserve">PM Emission Factor </t>
  </si>
  <si>
    <t>lb/lb</t>
  </si>
  <si>
    <t>Material Process Rate</t>
  </si>
  <si>
    <t>Short Term Emission Rate</t>
  </si>
  <si>
    <t>Resin</t>
  </si>
  <si>
    <t>98-83-9</t>
  </si>
  <si>
    <t>Subject to Subpart WWWW</t>
  </si>
  <si>
    <t>Whole Building Total</t>
  </si>
  <si>
    <t>STRIPE FACILITY</t>
  </si>
  <si>
    <t>OK INDUSTRIAL COMPOSITES</t>
  </si>
  <si>
    <t>Grind Booth No. 1</t>
  </si>
  <si>
    <t>Grind Booth No. 2</t>
  </si>
  <si>
    <t>Grind Booth No. 3</t>
  </si>
  <si>
    <t xml:space="preserve">     Mechanical Atomized</t>
  </si>
  <si>
    <t xml:space="preserve">     Mechanical Atomized Controlled Spray</t>
  </si>
  <si>
    <t xml:space="preserve">     Mechanical Non Atomized</t>
  </si>
  <si>
    <t xml:space="preserve">     Filament Application</t>
  </si>
  <si>
    <t>OK Industrial Composites Data</t>
  </si>
  <si>
    <t>None</t>
  </si>
  <si>
    <t xml:space="preserve">     Filament Application with VSR</t>
  </si>
  <si>
    <t xml:space="preserve">     Manual with VSR</t>
  </si>
  <si>
    <t xml:space="preserve">     Mechanical Atomized with VSR</t>
  </si>
  <si>
    <t xml:space="preserve">     Mechanical Atomized Controlled Spray with VSR</t>
  </si>
  <si>
    <t xml:space="preserve">     Mechanical Non Atomized with VSR</t>
  </si>
  <si>
    <t>Vapor Supressed Emission (VSE) Factor</t>
  </si>
  <si>
    <t xml:space="preserve">FILAMENT WINDING EMISSIONS </t>
  </si>
  <si>
    <t xml:space="preserve">HAND LAYUP EMISSIONS </t>
  </si>
  <si>
    <t>TABLE 9</t>
  </si>
  <si>
    <t>Application Technique - Select Only One</t>
  </si>
  <si>
    <t xml:space="preserve"> Application Technique - Select Only One</t>
  </si>
  <si>
    <t>OK Industrial Composites</t>
  </si>
  <si>
    <t>Booth No. 1</t>
  </si>
  <si>
    <t>Booth No. 2</t>
  </si>
  <si>
    <t>Winding Room</t>
  </si>
  <si>
    <r>
      <t>1</t>
    </r>
    <r>
      <rPr>
        <sz val="10"/>
        <color indexed="8"/>
        <rFont val="Arial"/>
        <family val="2"/>
      </rPr>
      <t xml:space="preserve"> Short term cleanup solvent emissions never occur during resin application </t>
    </r>
  </si>
  <si>
    <t>Spray Layup</t>
  </si>
  <si>
    <t>Emission Point</t>
  </si>
  <si>
    <t>Storage Tank No. 1</t>
  </si>
  <si>
    <t>Storage Tank No. 2</t>
  </si>
  <si>
    <t>Hand Layup</t>
  </si>
  <si>
    <t>Filament Winding</t>
  </si>
  <si>
    <t>Storage Tank No.3</t>
  </si>
  <si>
    <t>WINDING ROOM</t>
  </si>
  <si>
    <t>BOOTH NO. 1</t>
  </si>
  <si>
    <t>BOOTH NO. 2</t>
  </si>
  <si>
    <t>Grinding</t>
  </si>
  <si>
    <t>Equipment Cleanup</t>
  </si>
  <si>
    <t xml:space="preserve">SPRAY LAYUP EMISSIONS </t>
  </si>
  <si>
    <t>Maximum Resin Short Term Application Rate</t>
  </si>
  <si>
    <t>Maximum Resin Methyl methacrylate Content</t>
  </si>
  <si>
    <t>Maximum Resin Alpha methyl styrene Content</t>
  </si>
  <si>
    <t>Fraction of Annual Use by Source</t>
  </si>
  <si>
    <t>Hand layup</t>
  </si>
  <si>
    <t>Total</t>
  </si>
  <si>
    <t>Short term cleanup solvent use is equal to the maximum amount in each operation.</t>
  </si>
  <si>
    <t>Use Fraction</t>
  </si>
  <si>
    <t>2003 TCEQ</t>
  </si>
  <si>
    <t>GLC</t>
  </si>
  <si>
    <t>FRACTION</t>
  </si>
  <si>
    <t>OF</t>
  </si>
  <si>
    <t>LESS THAN</t>
  </si>
  <si>
    <t>(YES/NO)</t>
  </si>
  <si>
    <t>GRIND BOOTH NO. 1</t>
  </si>
  <si>
    <t>GRIND BOOTH NO. 2</t>
  </si>
  <si>
    <t>GRIND BOOTH NO. 3</t>
  </si>
  <si>
    <t>STORAGE TANK NO. 1</t>
  </si>
  <si>
    <t>STORAGE TANK NO. 2</t>
  </si>
  <si>
    <t>STORAGE TANK NO. 3</t>
  </si>
  <si>
    <t xml:space="preserve">EPA Procedure T </t>
  </si>
  <si>
    <t>Grinding Booth No. 1</t>
  </si>
  <si>
    <t>Alpha methyl Stryrene</t>
  </si>
  <si>
    <t>Grinding Booth No. 2</t>
  </si>
  <si>
    <t>Grinding Booth No. 3</t>
  </si>
  <si>
    <t>Resin Liquid Speciation</t>
  </si>
  <si>
    <t>Resin Vapor Speciation - Hottest Month</t>
  </si>
  <si>
    <t>TCEQ Technical Guidance For Chemical Sources - Storage Tanks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</si>
</sst>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0.0000"/>
    <numFmt numFmtId="168" formatCode="0.000"/>
    <numFmt numFmtId="169" formatCode="0.00000"/>
  </numFmts>
  <fonts count="27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2"/>
    </font>
    <font>
      <b/>
      <sz val="11"/>
      <name val="Arial"/>
      <family val="0"/>
    </font>
    <font>
      <sz val="9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6"/>
      <color indexed="8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/>
    </xf>
    <xf numFmtId="0" fontId="7" fillId="0" borderId="0" xfId="19" applyFont="1" applyAlignment="1">
      <alignment horizontal="center"/>
      <protection/>
    </xf>
    <xf numFmtId="0" fontId="0" fillId="0" borderId="0" xfId="19">
      <alignment/>
      <protection/>
    </xf>
    <xf numFmtId="0" fontId="0" fillId="0" borderId="0" xfId="19" applyAlignment="1">
      <alignment horizontal="center"/>
      <protection/>
    </xf>
    <xf numFmtId="3" fontId="0" fillId="0" borderId="0" xfId="19" applyNumberFormat="1">
      <alignment/>
      <protection/>
    </xf>
    <xf numFmtId="0" fontId="0" fillId="0" borderId="0" xfId="19" applyFont="1">
      <alignment/>
      <protection/>
    </xf>
    <xf numFmtId="0" fontId="8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3" fontId="0" fillId="0" borderId="0" xfId="19" applyNumberFormat="1" applyFont="1">
      <alignment/>
      <protection/>
    </xf>
    <xf numFmtId="3" fontId="9" fillId="0" borderId="0" xfId="19" applyNumberFormat="1" applyFont="1">
      <alignment/>
      <protection/>
    </xf>
    <xf numFmtId="164" fontId="9" fillId="0" borderId="0" xfId="19" applyNumberFormat="1" applyFont="1">
      <alignment/>
      <protection/>
    </xf>
    <xf numFmtId="0" fontId="9" fillId="0" borderId="0" xfId="0" applyFont="1" applyAlignment="1">
      <alignment/>
    </xf>
    <xf numFmtId="3" fontId="9" fillId="0" borderId="0" xfId="19" applyNumberFormat="1" applyFont="1" applyAlignment="1">
      <alignment horizontal="center"/>
      <protection/>
    </xf>
    <xf numFmtId="0" fontId="10" fillId="0" borderId="0" xfId="19" applyFont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19" applyFont="1">
      <alignment/>
      <protection/>
    </xf>
    <xf numFmtId="2" fontId="0" fillId="0" borderId="0" xfId="19" applyNumberFormat="1" applyAlignment="1">
      <alignment horizontal="center"/>
      <protection/>
    </xf>
    <xf numFmtId="10" fontId="0" fillId="0" borderId="0" xfId="19" applyNumberFormat="1" applyAlignment="1">
      <alignment horizontal="center"/>
      <protection/>
    </xf>
    <xf numFmtId="2" fontId="7" fillId="0" borderId="0" xfId="19" applyNumberFormat="1" applyFont="1">
      <alignment/>
      <protection/>
    </xf>
    <xf numFmtId="0" fontId="7" fillId="0" borderId="0" xfId="19" applyFont="1" applyAlignment="1">
      <alignment horizontal="left"/>
      <protection/>
    </xf>
    <xf numFmtId="3" fontId="0" fillId="0" borderId="0" xfId="19" applyNumberFormat="1" applyAlignment="1">
      <alignment horizontal="center"/>
      <protection/>
    </xf>
    <xf numFmtId="2" fontId="7" fillId="0" borderId="0" xfId="19" applyNumberFormat="1" applyFont="1" applyAlignment="1">
      <alignment horizontal="right"/>
      <protection/>
    </xf>
    <xf numFmtId="166" fontId="0" fillId="0" borderId="0" xfId="19" applyNumberFormat="1" applyAlignment="1">
      <alignment horizontal="center"/>
      <protection/>
    </xf>
    <xf numFmtId="4" fontId="0" fillId="0" borderId="0" xfId="0" applyNumberFormat="1" applyAlignment="1">
      <alignment horizontal="center"/>
    </xf>
    <xf numFmtId="0" fontId="0" fillId="0" borderId="0" xfId="19" applyFont="1" applyAlignment="1">
      <alignment horizontal="left"/>
      <protection/>
    </xf>
    <xf numFmtId="166" fontId="7" fillId="0" borderId="0" xfId="19" applyNumberFormat="1" applyFont="1" applyAlignment="1">
      <alignment horizontal="right"/>
      <protection/>
    </xf>
    <xf numFmtId="166" fontId="0" fillId="0" borderId="0" xfId="19" applyNumberFormat="1" applyFont="1" applyAlignment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19" applyFont="1" applyAlignment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2" fontId="13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0" xfId="19" applyFont="1" applyAlignment="1">
      <alignment/>
      <protection/>
    </xf>
    <xf numFmtId="0" fontId="12" fillId="0" borderId="0" xfId="0" applyFont="1" applyAlignment="1">
      <alignment/>
    </xf>
    <xf numFmtId="168" fontId="7" fillId="0" borderId="0" xfId="19" applyNumberFormat="1" applyFont="1" applyAlignment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19" applyFont="1">
      <alignment/>
      <protection/>
    </xf>
    <xf numFmtId="0" fontId="7" fillId="0" borderId="0" xfId="19" applyFont="1" applyAlignment="1">
      <alignment horizontal="center"/>
      <protection/>
    </xf>
    <xf numFmtId="0" fontId="0" fillId="0" borderId="0" xfId="19" applyFont="1" applyAlignment="1">
      <alignment wrapText="1"/>
      <protection/>
    </xf>
    <xf numFmtId="0" fontId="0" fillId="0" borderId="0" xfId="19" applyFont="1" applyAlignment="1">
      <alignment horizontal="center" wrapText="1"/>
      <protection/>
    </xf>
    <xf numFmtId="0" fontId="0" fillId="0" borderId="0" xfId="0" applyAlignment="1">
      <alignment wrapText="1"/>
    </xf>
    <xf numFmtId="0" fontId="7" fillId="0" borderId="0" xfId="19" applyFont="1" applyAlignment="1">
      <alignment horizontal="center" wrapText="1"/>
      <protection/>
    </xf>
    <xf numFmtId="3" fontId="7" fillId="0" borderId="0" xfId="19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3" fontId="0" fillId="0" borderId="0" xfId="19" applyNumberFormat="1" applyFont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19" applyNumberFormat="1" applyAlignment="1">
      <alignment horizontal="center"/>
      <protection/>
    </xf>
    <xf numFmtId="1" fontId="0" fillId="0" borderId="0" xfId="0" applyNumberFormat="1" applyAlignment="1">
      <alignment horizontal="center"/>
    </xf>
    <xf numFmtId="0" fontId="0" fillId="0" borderId="0" xfId="19" applyFont="1" applyAlignment="1">
      <alignment horizontal="center"/>
      <protection/>
    </xf>
    <xf numFmtId="0" fontId="0" fillId="0" borderId="0" xfId="19" applyFont="1" applyAlignment="1">
      <alignment horizontal="left"/>
      <protection/>
    </xf>
    <xf numFmtId="0" fontId="0" fillId="0" borderId="0" xfId="19" applyFont="1" applyAlignment="1">
      <alignment horizontal="right"/>
      <protection/>
    </xf>
    <xf numFmtId="166" fontId="0" fillId="0" borderId="0" xfId="0" applyNumberFormat="1" applyAlignment="1">
      <alignment horizontal="center"/>
    </xf>
    <xf numFmtId="2" fontId="0" fillId="0" borderId="0" xfId="19" applyNumberFormat="1" applyFont="1" applyAlignment="1">
      <alignment horizontal="center"/>
      <protection/>
    </xf>
    <xf numFmtId="3" fontId="0" fillId="0" borderId="0" xfId="19" applyNumberFormat="1" applyFont="1" applyAlignment="1">
      <alignment horizontal="center"/>
      <protection/>
    </xf>
    <xf numFmtId="0" fontId="0" fillId="0" borderId="0" xfId="19" applyAlignment="1">
      <alignment wrapText="1"/>
      <protection/>
    </xf>
    <xf numFmtId="0" fontId="0" fillId="0" borderId="0" xfId="19" applyAlignment="1">
      <alignment horizontal="center" wrapText="1"/>
      <protection/>
    </xf>
    <xf numFmtId="2" fontId="7" fillId="0" borderId="0" xfId="19" applyNumberFormat="1" applyFont="1" applyAlignment="1">
      <alignment horizontal="left"/>
      <protection/>
    </xf>
    <xf numFmtId="0" fontId="17" fillId="0" borderId="0" xfId="0" applyFont="1" applyAlignment="1">
      <alignment horizontal="center"/>
    </xf>
    <xf numFmtId="3" fontId="17" fillId="0" borderId="0" xfId="19" applyNumberFormat="1" applyFont="1" applyAlignment="1">
      <alignment horizontal="center"/>
      <protection/>
    </xf>
    <xf numFmtId="166" fontId="0" fillId="0" borderId="0" xfId="19" applyNumberFormat="1">
      <alignment/>
      <protection/>
    </xf>
    <xf numFmtId="166" fontId="0" fillId="0" borderId="0" xfId="0" applyNumberFormat="1" applyAlignment="1">
      <alignment/>
    </xf>
    <xf numFmtId="3" fontId="7" fillId="0" borderId="0" xfId="19" applyNumberFormat="1" applyFont="1" applyAlignment="1">
      <alignment horizontal="center"/>
      <protection/>
    </xf>
    <xf numFmtId="2" fontId="7" fillId="0" borderId="0" xfId="19" applyNumberFormat="1" applyFont="1" applyAlignment="1">
      <alignment horizontal="center"/>
      <protection/>
    </xf>
    <xf numFmtId="3" fontId="7" fillId="0" borderId="0" xfId="19" applyNumberFormat="1" applyFont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2" fontId="0" fillId="0" borderId="0" xfId="19" applyNumberFormat="1" applyFont="1" applyAlignment="1">
      <alignment horizontal="center"/>
      <protection/>
    </xf>
    <xf numFmtId="2" fontId="7" fillId="0" borderId="0" xfId="19" applyNumberFormat="1" applyFont="1" applyAlignment="1">
      <alignment horizontal="right"/>
      <protection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3" fillId="2" borderId="10" xfId="0" applyNumberFormat="1" applyFont="1" applyFill="1" applyBorder="1" applyAlignment="1" applyProtection="1">
      <alignment horizontal="center"/>
      <protection locked="0"/>
    </xf>
    <xf numFmtId="0" fontId="13" fillId="2" borderId="11" xfId="0" applyNumberFormat="1" applyFont="1" applyFill="1" applyBorder="1" applyAlignment="1" applyProtection="1">
      <alignment horizontal="center"/>
      <protection locked="0"/>
    </xf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13" fillId="2" borderId="5" xfId="0" applyNumberFormat="1" applyFont="1" applyFill="1" applyBorder="1" applyAlignment="1" applyProtection="1">
      <alignment horizontal="center"/>
      <protection locked="0"/>
    </xf>
    <xf numFmtId="0" fontId="21" fillId="2" borderId="12" xfId="0" applyNumberFormat="1" applyFont="1" applyFill="1" applyBorder="1" applyAlignment="1" applyProtection="1">
      <alignment horizontal="center"/>
      <protection locked="0"/>
    </xf>
    <xf numFmtId="0" fontId="21" fillId="2" borderId="13" xfId="0" applyNumberFormat="1" applyFont="1" applyFill="1" applyBorder="1" applyAlignment="1" applyProtection="1">
      <alignment horizontal="center"/>
      <protection locked="0"/>
    </xf>
    <xf numFmtId="0" fontId="21" fillId="2" borderId="5" xfId="0" applyNumberFormat="1" applyFont="1" applyFill="1" applyBorder="1" applyAlignment="1" applyProtection="1">
      <alignment horizontal="center"/>
      <protection locked="0"/>
    </xf>
    <xf numFmtId="0" fontId="13" fillId="2" borderId="14" xfId="0" applyNumberFormat="1" applyFont="1" applyFill="1" applyBorder="1" applyAlignment="1" applyProtection="1">
      <alignment horizontal="center"/>
      <protection locked="0"/>
    </xf>
    <xf numFmtId="0" fontId="13" fillId="2" borderId="15" xfId="0" applyNumberFormat="1" applyFont="1" applyFill="1" applyBorder="1" applyAlignment="1" applyProtection="1">
      <alignment horizontal="center"/>
      <protection locked="0"/>
    </xf>
    <xf numFmtId="0" fontId="21" fillId="2" borderId="16" xfId="0" applyNumberFormat="1" applyFont="1" applyFill="1" applyBorder="1" applyAlignment="1" applyProtection="1">
      <alignment horizontal="center"/>
      <protection locked="0"/>
    </xf>
    <xf numFmtId="0" fontId="21" fillId="2" borderId="17" xfId="0" applyNumberFormat="1" applyFont="1" applyFill="1" applyBorder="1" applyAlignment="1" applyProtection="1">
      <alignment horizontal="center"/>
      <protection locked="0"/>
    </xf>
    <xf numFmtId="0" fontId="21" fillId="2" borderId="15" xfId="0" applyNumberFormat="1" applyFont="1" applyFill="1" applyBorder="1" applyAlignment="1" applyProtection="1">
      <alignment horizontal="center"/>
      <protection locked="0"/>
    </xf>
    <xf numFmtId="0" fontId="2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9" xfId="0" applyNumberFormat="1" applyFont="1" applyFill="1" applyBorder="1" applyAlignment="1" applyProtection="1">
      <alignment horizontal="center" vertical="top" wrapText="1"/>
      <protection locked="0"/>
    </xf>
    <xf numFmtId="2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13" fillId="3" borderId="5" xfId="0" applyNumberFormat="1" applyFont="1" applyFill="1" applyBorder="1" applyAlignment="1" applyProtection="1">
      <alignment horizontal="center"/>
      <protection/>
    </xf>
    <xf numFmtId="0" fontId="21" fillId="3" borderId="5" xfId="0" applyNumberFormat="1" applyFont="1" applyFill="1" applyBorder="1" applyAlignment="1" applyProtection="1">
      <alignment horizontal="center" vertical="center"/>
      <protection/>
    </xf>
    <xf numFmtId="0" fontId="21" fillId="3" borderId="15" xfId="0" applyNumberFormat="1" applyFont="1" applyFill="1" applyBorder="1" applyAlignment="1" applyProtection="1">
      <alignment horizontal="center" vertical="center"/>
      <protection/>
    </xf>
    <xf numFmtId="2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169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/>
      <protection/>
    </xf>
    <xf numFmtId="169" fontId="11" fillId="0" borderId="24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23" fillId="0" borderId="27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2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169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/>
      <protection/>
    </xf>
    <xf numFmtId="0" fontId="13" fillId="3" borderId="34" xfId="0" applyNumberFormat="1" applyFont="1" applyFill="1" applyBorder="1" applyAlignment="1" applyProtection="1">
      <alignment horizontal="center"/>
      <protection/>
    </xf>
    <xf numFmtId="0" fontId="13" fillId="3" borderId="35" xfId="0" applyNumberFormat="1" applyFont="1" applyFill="1" applyBorder="1" applyAlignment="1" applyProtection="1">
      <alignment horizontal="center"/>
      <protection/>
    </xf>
    <xf numFmtId="2" fontId="1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19" applyFont="1">
      <alignment/>
      <protection/>
    </xf>
    <xf numFmtId="0" fontId="10" fillId="0" borderId="0" xfId="0" applyFont="1" applyAlignment="1">
      <alignment/>
    </xf>
    <xf numFmtId="167" fontId="0" fillId="0" borderId="0" xfId="0" applyNumberFormat="1" applyAlignment="1">
      <alignment horizontal="center"/>
    </xf>
    <xf numFmtId="2" fontId="17" fillId="0" borderId="0" xfId="19" applyNumberFormat="1" applyFont="1">
      <alignment/>
      <protection/>
    </xf>
    <xf numFmtId="3" fontId="17" fillId="0" borderId="0" xfId="19" applyNumberFormat="1" applyFont="1">
      <alignment/>
      <protection/>
    </xf>
    <xf numFmtId="164" fontId="17" fillId="0" borderId="0" xfId="19" applyNumberFormat="1" applyFont="1">
      <alignment/>
      <protection/>
    </xf>
    <xf numFmtId="166" fontId="17" fillId="0" borderId="0" xfId="19" applyNumberFormat="1" applyFont="1">
      <alignment/>
      <protection/>
    </xf>
    <xf numFmtId="167" fontId="17" fillId="0" borderId="0" xfId="19" applyNumberFormat="1" applyFont="1">
      <alignment/>
      <protection/>
    </xf>
    <xf numFmtId="10" fontId="17" fillId="0" borderId="0" xfId="19" applyNumberFormat="1" applyFont="1">
      <alignment/>
      <protection/>
    </xf>
    <xf numFmtId="1" fontId="17" fillId="0" borderId="0" xfId="19" applyNumberFormat="1" applyFont="1">
      <alignment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25" xfId="0" applyNumberFormat="1" applyFont="1" applyFill="1" applyBorder="1" applyAlignment="1" applyProtection="1">
      <alignment horizontal="center" vertical="center"/>
      <protection/>
    </xf>
    <xf numFmtId="0" fontId="17" fillId="0" borderId="24" xfId="0" applyNumberFormat="1" applyFont="1" applyFill="1" applyBorder="1" applyAlignment="1" applyProtection="1">
      <alignment horizontal="center" vertical="center"/>
      <protection/>
    </xf>
    <xf numFmtId="0" fontId="17" fillId="0" borderId="32" xfId="0" applyNumberFormat="1" applyFont="1" applyFill="1" applyBorder="1" applyAlignment="1" applyProtection="1">
      <alignment horizontal="center" vertical="center"/>
      <protection/>
    </xf>
    <xf numFmtId="3" fontId="24" fillId="0" borderId="5" xfId="0" applyNumberFormat="1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3" fontId="25" fillId="0" borderId="5" xfId="0" applyNumberFormat="1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3" fontId="25" fillId="0" borderId="5" xfId="0" applyNumberFormat="1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3" fontId="7" fillId="0" borderId="8" xfId="0" applyNumberFormat="1" applyFont="1" applyBorder="1" applyAlignment="1">
      <alignment/>
    </xf>
    <xf numFmtId="0" fontId="7" fillId="0" borderId="8" xfId="0" applyFont="1" applyBorder="1" applyAlignment="1">
      <alignment/>
    </xf>
    <xf numFmtId="1" fontId="25" fillId="0" borderId="5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2" fontId="11" fillId="0" borderId="37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0" xfId="0" applyNumberFormat="1" applyAlignment="1">
      <alignment horizontal="center"/>
    </xf>
    <xf numFmtId="0" fontId="26" fillId="0" borderId="0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Fill="1" applyBorder="1" applyAlignment="1" applyProtection="1">
      <alignment horizontal="right" vertical="top" wrapText="1"/>
      <protection locked="0"/>
    </xf>
    <xf numFmtId="0" fontId="26" fillId="0" borderId="0" xfId="0" applyNumberFormat="1" applyFont="1" applyFill="1" applyBorder="1" applyAlignment="1" applyProtection="1">
      <alignment horizontal="right" vertical="top" wrapText="1"/>
      <protection locked="0"/>
    </xf>
    <xf numFmtId="2" fontId="7" fillId="0" borderId="0" xfId="19" applyNumberFormat="1" applyFont="1">
      <alignment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40" xfId="0" applyNumberFormat="1" applyFont="1" applyFill="1" applyBorder="1" applyAlignment="1" applyProtection="1">
      <alignment horizontal="center"/>
      <protection locked="0"/>
    </xf>
    <xf numFmtId="0" fontId="21" fillId="2" borderId="41" xfId="0" applyNumberFormat="1" applyFont="1" applyFill="1" applyBorder="1" applyAlignment="1" applyProtection="1">
      <alignment horizontal="center"/>
      <protection locked="0"/>
    </xf>
    <xf numFmtId="0" fontId="21" fillId="2" borderId="11" xfId="0" applyNumberFormat="1" applyFont="1" applyFill="1" applyBorder="1" applyAlignment="1" applyProtection="1">
      <alignment horizontal="center"/>
      <protection locked="0"/>
    </xf>
    <xf numFmtId="0" fontId="13" fillId="3" borderId="15" xfId="0" applyNumberFormat="1" applyFont="1" applyFill="1" applyBorder="1" applyAlignment="1" applyProtection="1">
      <alignment horizontal="center"/>
      <protection/>
    </xf>
    <xf numFmtId="0" fontId="21" fillId="2" borderId="41" xfId="0" applyNumberFormat="1" applyFont="1" applyFill="1" applyBorder="1" applyAlignment="1" applyProtection="1">
      <alignment horizontal="center" wrapText="1"/>
      <protection locked="0"/>
    </xf>
    <xf numFmtId="0" fontId="21" fillId="2" borderId="11" xfId="0" applyNumberFormat="1" applyFont="1" applyFill="1" applyBorder="1" applyAlignment="1" applyProtection="1">
      <alignment horizontal="center" wrapText="1"/>
      <protection locked="0"/>
    </xf>
    <xf numFmtId="0" fontId="13" fillId="3" borderId="11" xfId="0" applyNumberFormat="1" applyFont="1" applyFill="1" applyBorder="1" applyAlignment="1" applyProtection="1">
      <alignment horizontal="center" vertical="center" wrapText="1"/>
      <protection/>
    </xf>
    <xf numFmtId="0" fontId="13" fillId="2" borderId="11" xfId="0" applyNumberFormat="1" applyFont="1" applyFill="1" applyBorder="1" applyAlignment="1" applyProtection="1">
      <alignment horizontal="center" wrapText="1"/>
      <protection locked="0"/>
    </xf>
    <xf numFmtId="0" fontId="13" fillId="3" borderId="11" xfId="0" applyNumberFormat="1" applyFont="1" applyFill="1" applyBorder="1" applyAlignment="1" applyProtection="1">
      <alignment horizontal="center" wrapText="1"/>
      <protection/>
    </xf>
    <xf numFmtId="0" fontId="13" fillId="3" borderId="42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7" fillId="0" borderId="43" xfId="19" applyFont="1" applyBorder="1" applyAlignment="1">
      <alignment horizontal="center"/>
      <protection/>
    </xf>
    <xf numFmtId="0" fontId="7" fillId="0" borderId="0" xfId="19" applyFont="1" applyBorder="1" applyAlignment="1">
      <alignment horizontal="center"/>
      <protection/>
    </xf>
    <xf numFmtId="0" fontId="7" fillId="0" borderId="13" xfId="19" applyFont="1" applyBorder="1" applyAlignment="1">
      <alignment horizontal="center"/>
      <protection/>
    </xf>
    <xf numFmtId="0" fontId="0" fillId="0" borderId="13" xfId="19" applyFont="1" applyBorder="1">
      <alignment/>
      <protection/>
    </xf>
    <xf numFmtId="0" fontId="0" fillId="0" borderId="13" xfId="19" applyFont="1" applyBorder="1" applyAlignment="1">
      <alignment horizontal="left"/>
      <protection/>
    </xf>
    <xf numFmtId="0" fontId="0" fillId="0" borderId="17" xfId="19" applyFont="1" applyBorder="1" applyAlignment="1">
      <alignment horizontal="left"/>
      <protection/>
    </xf>
    <xf numFmtId="1" fontId="17" fillId="0" borderId="43" xfId="19" applyNumberFormat="1" applyFont="1" applyBorder="1" applyAlignment="1">
      <alignment horizontal="center"/>
      <protection/>
    </xf>
    <xf numFmtId="166" fontId="17" fillId="0" borderId="43" xfId="19" applyNumberFormat="1" applyFont="1" applyBorder="1" applyAlignment="1">
      <alignment horizontal="center"/>
      <protection/>
    </xf>
    <xf numFmtId="2" fontId="17" fillId="0" borderId="43" xfId="19" applyNumberFormat="1" applyFont="1" applyBorder="1" applyAlignment="1">
      <alignment horizontal="center"/>
      <protection/>
    </xf>
    <xf numFmtId="0" fontId="17" fillId="0" borderId="43" xfId="19" applyFont="1" applyBorder="1" applyAlignment="1">
      <alignment horizontal="center"/>
      <protection/>
    </xf>
    <xf numFmtId="0" fontId="17" fillId="0" borderId="44" xfId="19" applyFont="1" applyBorder="1" applyAlignment="1">
      <alignment horizontal="center"/>
      <protection/>
    </xf>
    <xf numFmtId="0" fontId="10" fillId="0" borderId="0" xfId="19" applyFont="1" applyAlignment="1">
      <alignment horizontal="center"/>
      <protection/>
    </xf>
    <xf numFmtId="1" fontId="17" fillId="0" borderId="0" xfId="19" applyNumberFormat="1" applyFont="1" applyBorder="1" applyAlignment="1">
      <alignment horizontal="center"/>
      <protection/>
    </xf>
    <xf numFmtId="166" fontId="17" fillId="0" borderId="0" xfId="19" applyNumberFormat="1" applyFont="1" applyBorder="1" applyAlignment="1">
      <alignment horizontal="center"/>
      <protection/>
    </xf>
    <xf numFmtId="2" fontId="17" fillId="0" borderId="0" xfId="19" applyNumberFormat="1" applyFont="1" applyBorder="1" applyAlignment="1">
      <alignment horizontal="center"/>
      <protection/>
    </xf>
    <xf numFmtId="0" fontId="17" fillId="0" borderId="0" xfId="19" applyFont="1" applyBorder="1" applyAlignment="1">
      <alignment horizontal="center"/>
      <protection/>
    </xf>
    <xf numFmtId="0" fontId="17" fillId="0" borderId="45" xfId="19" applyFont="1" applyBorder="1" applyAlignment="1">
      <alignment horizontal="center"/>
      <protection/>
    </xf>
    <xf numFmtId="0" fontId="7" fillId="0" borderId="46" xfId="19" applyFont="1" applyBorder="1" applyAlignment="1">
      <alignment horizontal="center"/>
      <protection/>
    </xf>
    <xf numFmtId="0" fontId="0" fillId="0" borderId="46" xfId="19" applyFont="1" applyBorder="1">
      <alignment/>
      <protection/>
    </xf>
    <xf numFmtId="0" fontId="0" fillId="0" borderId="46" xfId="19" applyFont="1" applyBorder="1" applyAlignment="1">
      <alignment horizontal="left"/>
      <protection/>
    </xf>
    <xf numFmtId="0" fontId="0" fillId="0" borderId="47" xfId="19" applyFont="1" applyBorder="1" applyAlignment="1">
      <alignment horizontal="left"/>
      <protection/>
    </xf>
    <xf numFmtId="2" fontId="1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/>
    </xf>
    <xf numFmtId="0" fontId="10" fillId="0" borderId="48" xfId="19" applyFont="1" applyBorder="1" applyAlignment="1">
      <alignment horizontal="center"/>
      <protection/>
    </xf>
    <xf numFmtId="0" fontId="10" fillId="0" borderId="49" xfId="19" applyFont="1" applyBorder="1" applyAlignment="1">
      <alignment horizontal="center"/>
      <protection/>
    </xf>
    <xf numFmtId="0" fontId="10" fillId="0" borderId="50" xfId="19" applyFont="1" applyBorder="1" applyAlignment="1">
      <alignment horizontal="center"/>
      <protection/>
    </xf>
    <xf numFmtId="0" fontId="10" fillId="0" borderId="51" xfId="19" applyFont="1" applyBorder="1" applyAlignment="1">
      <alignment horizontal="center"/>
      <protection/>
    </xf>
    <xf numFmtId="0" fontId="7" fillId="0" borderId="52" xfId="19" applyFont="1" applyBorder="1" applyAlignment="1">
      <alignment horizontal="center"/>
      <protection/>
    </xf>
    <xf numFmtId="0" fontId="0" fillId="0" borderId="53" xfId="19" applyFont="1" applyBorder="1" applyAlignment="1">
      <alignment horizontal="center"/>
      <protection/>
    </xf>
    <xf numFmtId="0" fontId="0" fillId="0" borderId="53" xfId="19" applyFont="1" applyBorder="1" applyAlignment="1">
      <alignment horizontal="center"/>
      <protection/>
    </xf>
    <xf numFmtId="0" fontId="0" fillId="0" borderId="54" xfId="19" applyFont="1" applyBorder="1" applyAlignment="1">
      <alignment horizontal="center"/>
      <protection/>
    </xf>
    <xf numFmtId="0" fontId="10" fillId="0" borderId="55" xfId="19" applyFont="1" applyBorder="1" applyAlignment="1">
      <alignment horizontal="center"/>
      <protection/>
    </xf>
    <xf numFmtId="0" fontId="7" fillId="0" borderId="53" xfId="19" applyFont="1" applyBorder="1" applyAlignment="1">
      <alignment horizontal="center"/>
      <protection/>
    </xf>
    <xf numFmtId="0" fontId="0" fillId="0" borderId="56" xfId="19" applyFont="1" applyBorder="1" applyAlignment="1">
      <alignment horizontal="left"/>
      <protection/>
    </xf>
    <xf numFmtId="168" fontId="17" fillId="0" borderId="43" xfId="19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168" fontId="17" fillId="0" borderId="0" xfId="19" applyNumberFormat="1" applyFont="1" applyBorder="1" applyAlignment="1">
      <alignment horizontal="center"/>
      <protection/>
    </xf>
    <xf numFmtId="0" fontId="0" fillId="0" borderId="0" xfId="19" applyFont="1" applyBorder="1" applyAlignment="1">
      <alignment horizontal="center"/>
      <protection/>
    </xf>
    <xf numFmtId="0" fontId="0" fillId="0" borderId="0" xfId="19" applyFont="1" applyBorder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19" applyFont="1" applyAlignment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K Painiting permit paint emissions" xfId="19"/>
    <cellStyle name="Percent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4.57421875" style="0" customWidth="1"/>
    <col min="2" max="3" width="15.7109375" style="0" customWidth="1"/>
    <col min="4" max="4" width="22.00390625" style="0" customWidth="1"/>
    <col min="5" max="5" width="20.00390625" style="0" customWidth="1"/>
  </cols>
  <sheetData>
    <row r="1" spans="1:7" ht="18">
      <c r="A1" s="226" t="s">
        <v>0</v>
      </c>
      <c r="B1" s="226"/>
      <c r="C1" s="226"/>
      <c r="D1" s="226"/>
      <c r="E1" s="226"/>
      <c r="F1" s="226"/>
      <c r="G1" s="226"/>
    </row>
    <row r="2" spans="1:7" ht="18">
      <c r="A2" s="225" t="s">
        <v>206</v>
      </c>
      <c r="B2" s="225"/>
      <c r="C2" s="225"/>
      <c r="D2" s="225"/>
      <c r="E2" s="225"/>
      <c r="F2" s="225"/>
      <c r="G2" s="225"/>
    </row>
    <row r="3" spans="1:7" ht="18">
      <c r="A3" s="225" t="s">
        <v>205</v>
      </c>
      <c r="B3" s="225"/>
      <c r="C3" s="225"/>
      <c r="D3" s="225"/>
      <c r="E3" s="225"/>
      <c r="F3" s="225"/>
      <c r="G3" s="225"/>
    </row>
    <row r="4" spans="1:7" ht="18">
      <c r="A4" s="227" t="s">
        <v>37</v>
      </c>
      <c r="B4" s="227"/>
      <c r="C4" s="227"/>
      <c r="D4" s="227"/>
      <c r="E4" s="227"/>
      <c r="F4" s="227"/>
      <c r="G4" s="227"/>
    </row>
    <row r="5" spans="1:7" ht="18">
      <c r="A5" s="225" t="s">
        <v>244</v>
      </c>
      <c r="B5" s="225"/>
      <c r="C5" s="225"/>
      <c r="D5" s="225"/>
      <c r="E5" s="225"/>
      <c r="F5" s="225"/>
      <c r="G5" s="225"/>
    </row>
    <row r="6" spans="1:7" ht="18">
      <c r="A6" s="38"/>
      <c r="B6" s="38"/>
      <c r="C6" s="38"/>
      <c r="D6" s="38"/>
      <c r="E6" s="38"/>
      <c r="F6" s="38"/>
      <c r="G6" s="38"/>
    </row>
    <row r="8" spans="1:4" ht="12.75">
      <c r="A8" s="24" t="s">
        <v>29</v>
      </c>
      <c r="B8" s="24" t="s">
        <v>30</v>
      </c>
      <c r="C8" s="24" t="s">
        <v>31</v>
      </c>
      <c r="D8" s="24" t="s">
        <v>32</v>
      </c>
    </row>
    <row r="9" spans="1:4" ht="12.75">
      <c r="A9" s="28" t="s">
        <v>245</v>
      </c>
      <c r="B9" s="146">
        <v>0.1</v>
      </c>
      <c r="C9" s="30" t="s">
        <v>39</v>
      </c>
      <c r="D9" s="28" t="s">
        <v>214</v>
      </c>
    </row>
    <row r="10" spans="1:4" ht="12.75">
      <c r="A10" s="28" t="s">
        <v>49</v>
      </c>
      <c r="B10" s="147">
        <v>250</v>
      </c>
      <c r="C10" s="30" t="s">
        <v>40</v>
      </c>
      <c r="D10" s="28" t="s">
        <v>214</v>
      </c>
    </row>
    <row r="11" spans="1:4" ht="12.75">
      <c r="A11" s="28" t="s">
        <v>50</v>
      </c>
      <c r="B11" s="148">
        <v>35</v>
      </c>
      <c r="C11" s="30" t="s">
        <v>188</v>
      </c>
      <c r="D11" s="28" t="s">
        <v>38</v>
      </c>
    </row>
    <row r="12" spans="1:4" ht="12.75">
      <c r="A12" s="28" t="s">
        <v>246</v>
      </c>
      <c r="B12" s="148">
        <v>0</v>
      </c>
      <c r="C12" s="30" t="s">
        <v>188</v>
      </c>
      <c r="D12" s="28" t="s">
        <v>38</v>
      </c>
    </row>
    <row r="13" spans="1:4" ht="12.75">
      <c r="A13" s="28" t="s">
        <v>247</v>
      </c>
      <c r="B13" s="148">
        <v>3</v>
      </c>
      <c r="C13" s="30" t="s">
        <v>188</v>
      </c>
      <c r="D13" s="28" t="s">
        <v>38</v>
      </c>
    </row>
    <row r="14" spans="1:4" ht="12.75">
      <c r="A14" s="28" t="s">
        <v>221</v>
      </c>
      <c r="B14" s="148">
        <v>0</v>
      </c>
      <c r="C14" s="30" t="s">
        <v>215</v>
      </c>
      <c r="D14" s="28" t="s">
        <v>214</v>
      </c>
    </row>
    <row r="15" spans="1:4" ht="12.75">
      <c r="A15" s="28"/>
      <c r="B15" s="33"/>
      <c r="C15" s="30"/>
      <c r="D15" s="28"/>
    </row>
    <row r="16" spans="1:4" ht="12.75">
      <c r="A16" s="28"/>
      <c r="B16" s="32"/>
      <c r="C16" s="26"/>
      <c r="D16" s="28"/>
    </row>
    <row r="17" spans="1:4" ht="12.75">
      <c r="A17" s="65" t="s">
        <v>225</v>
      </c>
      <c r="B17" s="34"/>
      <c r="C17" s="26"/>
      <c r="D17" s="28" t="s">
        <v>214</v>
      </c>
    </row>
    <row r="18" spans="1:4" ht="12.75">
      <c r="A18" s="65"/>
      <c r="B18" s="34"/>
      <c r="C18" s="66"/>
      <c r="D18" s="28"/>
    </row>
    <row r="19" spans="1:5" ht="12.75">
      <c r="A19" s="66" t="s">
        <v>147</v>
      </c>
      <c r="B19" s="64" t="s">
        <v>102</v>
      </c>
      <c r="C19" s="66" t="s">
        <v>63</v>
      </c>
      <c r="D19" s="24" t="s">
        <v>31</v>
      </c>
      <c r="E19" s="24" t="s">
        <v>32</v>
      </c>
    </row>
    <row r="20" spans="1:5" ht="12.75">
      <c r="A20" s="79"/>
      <c r="B20" s="64"/>
      <c r="C20" s="66"/>
      <c r="D20" s="24"/>
      <c r="E20" s="24"/>
    </row>
    <row r="21" spans="1:5" ht="12.75">
      <c r="A21" s="79" t="s">
        <v>143</v>
      </c>
      <c r="B21" s="87" t="s">
        <v>24</v>
      </c>
      <c r="C21" s="46" t="str">
        <f>IF(B21="NO"," ",IF(B11&lt;33,(0.126*B11/100*2000),((0.286*B11/100)-0.0529)*2000))</f>
        <v> </v>
      </c>
      <c r="D21" s="28" t="str">
        <f>IF(B21="NO"," ","lb/ton resin processed")</f>
        <v> </v>
      </c>
      <c r="E21" s="28" t="str">
        <f>IF(B21="NO"," ","40 CFR 63, Subaprt WWWW, Table 1")</f>
        <v> </v>
      </c>
    </row>
    <row r="22" spans="1:5" ht="12.75">
      <c r="A22" s="79" t="s">
        <v>217</v>
      </c>
      <c r="B22" s="87" t="s">
        <v>24</v>
      </c>
      <c r="C22" s="46" t="str">
        <f>IF(B22="NO"," ",IF(B11&lt;33,(0.126*B11/100*2000)*(1-(0.5*B14)),((0.286*B11/100)-0.0529)*2000)*(1-(0.5*B14)))</f>
        <v> </v>
      </c>
      <c r="D22" s="28" t="str">
        <f aca="true" t="shared" si="0" ref="D22:D30">IF(B22="NO"," ","lb/ton resin processed")</f>
        <v> </v>
      </c>
      <c r="E22" s="28" t="str">
        <f aca="true" t="shared" si="1" ref="E22:E30">IF(B22="NO"," ","40 CFR 63, Subaprt WWWW, Table 1")</f>
        <v> </v>
      </c>
    </row>
    <row r="23" spans="1:5" ht="12.75">
      <c r="A23" s="79" t="s">
        <v>210</v>
      </c>
      <c r="B23" s="87" t="s">
        <v>24</v>
      </c>
      <c r="C23" s="46" t="str">
        <f>IF(B23="NO"," ",IF(B11&lt;33,(0.169*B11/100*2000),((0.714*B11/100)-0.18)*2000))</f>
        <v> </v>
      </c>
      <c r="D23" s="28" t="str">
        <f t="shared" si="0"/>
        <v> </v>
      </c>
      <c r="E23" s="28" t="str">
        <f t="shared" si="1"/>
        <v> </v>
      </c>
    </row>
    <row r="24" spans="1:5" ht="12.75">
      <c r="A24" s="79" t="s">
        <v>218</v>
      </c>
      <c r="B24" s="87" t="s">
        <v>24</v>
      </c>
      <c r="C24" s="46" t="str">
        <f>IF(B24="NO"," ",IF(B11&lt;33,(0.169*B11/100*2000)*(1-(0.45*B14)),((0.714*B11/100)-0.18)*2000)*(1-(0.45*B14)))</f>
        <v> </v>
      </c>
      <c r="D24" s="28" t="str">
        <f t="shared" si="0"/>
        <v> </v>
      </c>
      <c r="E24" s="28" t="str">
        <f t="shared" si="1"/>
        <v> </v>
      </c>
    </row>
    <row r="25" spans="1:5" ht="12.75">
      <c r="A25" s="79" t="s">
        <v>211</v>
      </c>
      <c r="B25" s="87" t="s">
        <v>44</v>
      </c>
      <c r="C25" s="46">
        <f>IF(B25="NO"," ",IF(B11&lt;33,(0.13*B11/100*2000),((0.714*B11/100)-0.18)*2000*0.77))</f>
        <v>107.64599999999999</v>
      </c>
      <c r="D25" s="28" t="str">
        <f t="shared" si="0"/>
        <v>lb/ton resin processed</v>
      </c>
      <c r="E25" s="28" t="str">
        <f>IF(B25="NO"," ","Unified Emission Factors - July 23, 2001")</f>
        <v>Unified Emission Factors - July 23, 2001</v>
      </c>
    </row>
    <row r="26" spans="1:5" ht="12.75">
      <c r="A26" s="79" t="s">
        <v>219</v>
      </c>
      <c r="B26" s="87" t="s">
        <v>24</v>
      </c>
      <c r="C26" s="46" t="str">
        <f>IF(B26="NO"," ",IF(B11&lt;33,(0.13*B11/100*2000)*(1-(0.45*B14)),((0.714*B11/100)-0.18)*2000*0.77*(1-(0.45*B14))))</f>
        <v> </v>
      </c>
      <c r="D26" s="28" t="str">
        <f t="shared" si="0"/>
        <v> </v>
      </c>
      <c r="E26" s="28" t="str">
        <f t="shared" si="1"/>
        <v> </v>
      </c>
    </row>
    <row r="27" spans="1:5" ht="12.75">
      <c r="A27" s="79" t="s">
        <v>212</v>
      </c>
      <c r="B27" s="87" t="s">
        <v>24</v>
      </c>
      <c r="C27" s="46" t="str">
        <f>IF(B27="NO"," ",IF(B11&lt;33,(0.107*B11/100*2000),((0.157*B11/100)-0.0165)*2000))</f>
        <v> </v>
      </c>
      <c r="D27" s="28" t="str">
        <f t="shared" si="0"/>
        <v> </v>
      </c>
      <c r="E27" s="28" t="str">
        <f t="shared" si="1"/>
        <v> </v>
      </c>
    </row>
    <row r="28" spans="1:5" ht="12.75">
      <c r="A28" s="79" t="s">
        <v>220</v>
      </c>
      <c r="B28" s="87" t="s">
        <v>24</v>
      </c>
      <c r="C28" s="46" t="str">
        <f>IF(B28="NO"," ",IF(B11&lt;33,(0.107*B11/100*2000)*(1-(0.45*B14)),((0.157*B11/100)-0.0165)*2000*(1-(0.45*B14))))</f>
        <v> </v>
      </c>
      <c r="D28" s="28" t="str">
        <f t="shared" si="0"/>
        <v> </v>
      </c>
      <c r="E28" s="28" t="str">
        <f t="shared" si="1"/>
        <v> </v>
      </c>
    </row>
    <row r="29" spans="1:5" ht="12.75">
      <c r="A29" s="79" t="s">
        <v>213</v>
      </c>
      <c r="B29" s="87" t="s">
        <v>24</v>
      </c>
      <c r="C29" s="46" t="str">
        <f>IF(B29="NO"," ",IF(B11&lt;33,(0.184*B11/100*2000),((0.2746*B11/100)-0.0298)*2000))</f>
        <v> </v>
      </c>
      <c r="D29" s="28" t="str">
        <f t="shared" si="0"/>
        <v> </v>
      </c>
      <c r="E29" s="28" t="str">
        <f t="shared" si="1"/>
        <v> </v>
      </c>
    </row>
    <row r="30" spans="1:5" ht="12.75">
      <c r="A30" s="79" t="s">
        <v>216</v>
      </c>
      <c r="B30" s="87" t="s">
        <v>24</v>
      </c>
      <c r="C30" s="46" t="str">
        <f>IF(B30="NO"," ",IF(B11&lt;33,(0.12*B11/100*2000),((0.2746*B11/100)-0.0298)*2000*0.65))</f>
        <v> </v>
      </c>
      <c r="D30" s="28" t="str">
        <f t="shared" si="0"/>
        <v> </v>
      </c>
      <c r="E30" s="28" t="str">
        <f t="shared" si="1"/>
        <v> </v>
      </c>
    </row>
    <row r="31" spans="1:5" ht="12.75">
      <c r="A31" s="31" t="s">
        <v>41</v>
      </c>
      <c r="B31" s="87" t="s">
        <v>24</v>
      </c>
      <c r="C31" s="46" t="str">
        <f>IF(B31="NO"," ",IF(B11&lt;19,(0.445*B11/100*2000),((1.03646*B11/100)-0.195)*2000))</f>
        <v> </v>
      </c>
      <c r="D31" s="28" t="str">
        <f>IF(B31="NO"," ","lb/ton gelcoat processed")</f>
        <v> </v>
      </c>
      <c r="E31" s="28" t="str">
        <f>IF(B31="NO"," ","40 CFR 63, Subaprt WWWW, Table 1")</f>
        <v> </v>
      </c>
    </row>
    <row r="32" spans="1:5" ht="12.75">
      <c r="A32" s="31" t="s">
        <v>42</v>
      </c>
      <c r="B32" s="87" t="s">
        <v>24</v>
      </c>
      <c r="C32" s="46" t="str">
        <f>IF(B32="NO"," ",IF(B11&lt;33,(0.325*B11/100*2000),(0.73*((1.03646*B11/100)-0.195))*2000))</f>
        <v> </v>
      </c>
      <c r="D32" s="28" t="str">
        <f>IF(B32="NO"," ","lb/ton gelcoat processed")</f>
        <v> </v>
      </c>
      <c r="E32" s="28" t="str">
        <f>IF(B32="NO"," ","Unified Emission Factors - July 23, 2001")</f>
        <v> </v>
      </c>
    </row>
    <row r="33" spans="1:5" ht="12.75">
      <c r="A33" s="31" t="s">
        <v>43</v>
      </c>
      <c r="B33" s="88" t="s">
        <v>24</v>
      </c>
      <c r="C33" s="46" t="str">
        <f>IF(B33="NO"," ",IF(B11&lt;19,(0.185*B11/100*2000),((0.4506*B11/100)-0.0505)*2000))</f>
        <v> </v>
      </c>
      <c r="D33" s="28" t="str">
        <f>IF(B33="NO"," ","lb/ton gelcoat processed")</f>
        <v> </v>
      </c>
      <c r="E33" s="28" t="str">
        <f>IF(B33="NO"," ","Unified Emission Factors - July 23, 2001")</f>
        <v> </v>
      </c>
    </row>
    <row r="34" spans="1:4" ht="12.75">
      <c r="A34" s="28"/>
      <c r="B34" s="27"/>
      <c r="C34" s="26"/>
      <c r="D34" s="28"/>
    </row>
    <row r="35" ht="12.75">
      <c r="A35" s="93" t="s">
        <v>149</v>
      </c>
    </row>
    <row r="36" ht="12.75">
      <c r="A36" s="91" t="s">
        <v>150</v>
      </c>
    </row>
    <row r="37" ht="12.75">
      <c r="A37" s="91"/>
    </row>
    <row r="38" spans="1:5" ht="12.75">
      <c r="A38" s="28" t="s">
        <v>143</v>
      </c>
      <c r="B38" s="91" t="str">
        <f>IF(AND(B21="yes",B13&gt;0),"YES"," ")</f>
        <v> </v>
      </c>
      <c r="C38" s="46" t="str">
        <f>IF(B38=" "," ",IF(B13&lt;33,(0.126*B13/100*2000),((0.286*B13/100)-0.0529)*2000))</f>
        <v> </v>
      </c>
      <c r="D38" s="28" t="str">
        <f>IF(B38=" "," ","lb/ton resin processed")</f>
        <v> </v>
      </c>
      <c r="E38" s="28" t="str">
        <f>IF(B38=" "," ","40 CFR 63, Subaprt WWWW, Table 1")</f>
        <v> </v>
      </c>
    </row>
    <row r="39" spans="1:5" ht="12.75">
      <c r="A39" s="79" t="s">
        <v>217</v>
      </c>
      <c r="B39" s="91" t="str">
        <f>IF(AND(B22="yes",B13&gt;0),"YES"," ")</f>
        <v> </v>
      </c>
      <c r="C39" s="46" t="str">
        <f>IF(B39=" "," ",IF(B13&lt;33,(0.126*B13/100*2000)*(1-(0.5*B14)),((0.286*B13/100)-0.0529)*2000)*(1-(0.5*B14)))</f>
        <v> </v>
      </c>
      <c r="D39" s="28" t="str">
        <f aca="true" t="shared" si="2" ref="D39:D47">IF(B39=" "," ","lb/ton resin processed")</f>
        <v> </v>
      </c>
      <c r="E39" s="28" t="str">
        <f aca="true" t="shared" si="3" ref="E39:E47">IF(B39=" "," ","40 CFR 63, Subaprt WWWW, Table 1")</f>
        <v> </v>
      </c>
    </row>
    <row r="40" spans="1:5" ht="12.75">
      <c r="A40" s="79" t="s">
        <v>210</v>
      </c>
      <c r="B40" s="91" t="str">
        <f>IF(AND(B23="yes",B13&gt;0),"YES"," ")</f>
        <v> </v>
      </c>
      <c r="C40" s="46" t="str">
        <f>IF(B40=" "," ",IF(B13&lt;33,(0.169*B13/100*2000),((0.714*B13/100)-0.18)*2000))</f>
        <v> </v>
      </c>
      <c r="D40" s="28" t="str">
        <f t="shared" si="2"/>
        <v> </v>
      </c>
      <c r="E40" s="28" t="str">
        <f t="shared" si="3"/>
        <v> </v>
      </c>
    </row>
    <row r="41" spans="1:5" ht="12.75">
      <c r="A41" s="79" t="s">
        <v>218</v>
      </c>
      <c r="B41" s="91" t="str">
        <f>IF(AND(B24="yes",B13&gt;0),"YES"," ")</f>
        <v> </v>
      </c>
      <c r="C41" s="46" t="str">
        <f>IF(B41=" "," ",IF(B13&lt;33,(0.169*B13/100*2000)*(1-(0.45*B14)),((0.714*B13/100)-0.18)*2000)*(1-(0.45*B14)))</f>
        <v> </v>
      </c>
      <c r="D41" s="28" t="str">
        <f t="shared" si="2"/>
        <v> </v>
      </c>
      <c r="E41" s="28" t="str">
        <f t="shared" si="3"/>
        <v> </v>
      </c>
    </row>
    <row r="42" spans="1:5" ht="12.75">
      <c r="A42" s="79" t="s">
        <v>211</v>
      </c>
      <c r="B42" s="91" t="str">
        <f>IF(AND(B25="yes",B13&gt;0),"YES"," ")</f>
        <v>YES</v>
      </c>
      <c r="C42" s="46">
        <f>IF(B42=" "," ",IF(B13&lt;33,(0.13*B13/100*2000),((0.714*B13/100)-0.18)*2000*0.77))</f>
        <v>7.800000000000001</v>
      </c>
      <c r="D42" s="28" t="str">
        <f t="shared" si="2"/>
        <v>lb/ton resin processed</v>
      </c>
      <c r="E42" s="28" t="str">
        <f>IF(B42=" "," ","Unified Emission Factors - July 23, 2001")</f>
        <v>Unified Emission Factors - July 23, 2001</v>
      </c>
    </row>
    <row r="43" spans="1:5" ht="12.75">
      <c r="A43" s="79" t="s">
        <v>219</v>
      </c>
      <c r="B43" s="91" t="str">
        <f>IF(AND(B26="yes",B13&gt;0),"YES"," ")</f>
        <v> </v>
      </c>
      <c r="C43" s="46" t="str">
        <f>IF(B43=" "," ",IF(B13&lt;33,(0.13*B13/100*2000)*(1-(0.45*B14)),((0.714*B13/100)-0.18)*2000*0.77*(1-(0.45*B14))))</f>
        <v> </v>
      </c>
      <c r="D43" s="28" t="str">
        <f t="shared" si="2"/>
        <v> </v>
      </c>
      <c r="E43" s="28" t="str">
        <f t="shared" si="3"/>
        <v> </v>
      </c>
    </row>
    <row r="44" spans="1:5" ht="12.75">
      <c r="A44" s="79" t="s">
        <v>212</v>
      </c>
      <c r="B44" s="91" t="str">
        <f>IF(AND(B27="yes",B13&gt;0),"YES"," ")</f>
        <v> </v>
      </c>
      <c r="C44" s="46" t="str">
        <f>IF(B44=" "," ",IF(B13&lt;33,(0.107*B13/100*2000),((0.157*B13/100)-0.0165)*2000))</f>
        <v> </v>
      </c>
      <c r="D44" s="28" t="str">
        <f t="shared" si="2"/>
        <v> </v>
      </c>
      <c r="E44" s="28" t="str">
        <f t="shared" si="3"/>
        <v> </v>
      </c>
    </row>
    <row r="45" spans="1:5" ht="12.75">
      <c r="A45" s="79" t="s">
        <v>220</v>
      </c>
      <c r="B45" s="91" t="str">
        <f>IF(AND(B28="yes",B13&gt;0),"YES"," ")</f>
        <v> </v>
      </c>
      <c r="C45" s="46" t="str">
        <f>IF(B45=" "," ",IF(B13&lt;33,(0.107*B13/100*2000)*(1-(0.45*B14)),((0.157*B13/100)-0.0165)*2000*(1-(0.45*B14))))</f>
        <v> </v>
      </c>
      <c r="D45" s="28" t="str">
        <f t="shared" si="2"/>
        <v> </v>
      </c>
      <c r="E45" s="28" t="str">
        <f t="shared" si="3"/>
        <v> </v>
      </c>
    </row>
    <row r="46" spans="1:5" ht="12.75">
      <c r="A46" s="79" t="s">
        <v>213</v>
      </c>
      <c r="B46" s="91" t="str">
        <f>IF(AND(B29="yes",B13&gt;0),"YES"," ")</f>
        <v> </v>
      </c>
      <c r="C46" s="46" t="str">
        <f>IF(B46=" "," ",IF(B13&lt;33,(0.184*B13/100*2000),((0.2746*B13/100)-0.0298)*2000))</f>
        <v> </v>
      </c>
      <c r="D46" s="28" t="str">
        <f t="shared" si="2"/>
        <v> </v>
      </c>
      <c r="E46" s="28" t="str">
        <f t="shared" si="3"/>
        <v> </v>
      </c>
    </row>
    <row r="47" spans="1:5" ht="12.75">
      <c r="A47" s="79" t="s">
        <v>216</v>
      </c>
      <c r="B47" s="91" t="str">
        <f>IF(AND(B30="yes",B13&gt;0),"YES"," ")</f>
        <v> </v>
      </c>
      <c r="C47" s="46" t="str">
        <f>IF(B47=" "," ",IF(B13&lt;33,(0.12*B13/100*2000),((0.2746*B13/100)-0.0298)*2000*0.65))</f>
        <v> </v>
      </c>
      <c r="D47" s="28" t="str">
        <f t="shared" si="2"/>
        <v> </v>
      </c>
      <c r="E47" s="28" t="str">
        <f t="shared" si="3"/>
        <v> </v>
      </c>
    </row>
    <row r="48" spans="1:5" ht="12.75">
      <c r="A48" s="31" t="s">
        <v>41</v>
      </c>
      <c r="B48" s="91" t="str">
        <f>IF(AND(B31="yes",B13&gt;0),"YES"," ")</f>
        <v> </v>
      </c>
      <c r="C48" s="46" t="str">
        <f>IF(B48=" "," ",IF(B13&lt;19,(0.445*B13/100*2000),((1.03646*B13/100)-0.195)*2000))</f>
        <v> </v>
      </c>
      <c r="D48" s="28" t="str">
        <f>IF(B48=" "," ","lb/ton gelcoat processed")</f>
        <v> </v>
      </c>
      <c r="E48" s="28" t="str">
        <f>IF(B48=" "," ","40 CFR 63, Subaprt WWWW, Table 1")</f>
        <v> </v>
      </c>
    </row>
    <row r="49" spans="1:5" ht="12.75">
      <c r="A49" s="31" t="s">
        <v>42</v>
      </c>
      <c r="B49" s="91" t="str">
        <f>IF(AND(B32="yes",B13&gt;0),"YES"," ")</f>
        <v> </v>
      </c>
      <c r="C49" s="46" t="str">
        <f>IF(B49=" "," ",IF(B13&lt;33,(0.325*B13/100*2000),(0.73*((1.03646*B13/100)-0.195))*2000))</f>
        <v> </v>
      </c>
      <c r="D49" s="28" t="str">
        <f>IF(B49=" "," ","lb/ton gelcoat processed")</f>
        <v> </v>
      </c>
      <c r="E49" s="28" t="str">
        <f>IF(B49=" "," ","Unified Emission Factors - July 23, 2001")</f>
        <v> </v>
      </c>
    </row>
    <row r="50" spans="1:5" ht="12.75">
      <c r="A50" s="31" t="s">
        <v>43</v>
      </c>
      <c r="B50" s="91" t="str">
        <f>IF(AND(B33="yes",B13&gt;0),"YES"," ")</f>
        <v> </v>
      </c>
      <c r="C50" s="46" t="str">
        <f>IF(B50=" "," ",IF(B13&lt;19,(0.185*B13/100*2000),((0.4506*B13/100)-0.0505)*2000))</f>
        <v> </v>
      </c>
      <c r="D50" s="28" t="str">
        <f>IF(B50=" "," ","lb/ton gelcoat processed")</f>
        <v> </v>
      </c>
      <c r="E50" s="28" t="str">
        <f>IF(B50=" "," ","Unified Emission Factors - July 23, 2001")</f>
        <v> </v>
      </c>
    </row>
    <row r="51" spans="1:5" ht="12.75">
      <c r="A51" s="30"/>
      <c r="B51" s="91"/>
      <c r="C51" s="26"/>
      <c r="D51" s="28"/>
      <c r="E51" s="28"/>
    </row>
    <row r="52" spans="1:5" ht="12.75">
      <c r="A52" s="66" t="s">
        <v>148</v>
      </c>
      <c r="B52" s="91"/>
      <c r="C52" s="26"/>
      <c r="D52" s="28"/>
      <c r="E52" s="28"/>
    </row>
    <row r="53" spans="1:5" ht="12.75">
      <c r="A53" s="66" t="s">
        <v>150</v>
      </c>
      <c r="B53" s="91"/>
      <c r="C53" s="26"/>
      <c r="D53" s="28"/>
      <c r="E53" s="28"/>
    </row>
    <row r="54" spans="1:5" ht="12.75">
      <c r="A54" s="30" t="s">
        <v>151</v>
      </c>
      <c r="B54" s="91" t="str">
        <f>IF(B12&gt;0,"YES","NO")</f>
        <v>NO</v>
      </c>
      <c r="C54" s="26" t="str">
        <f>IF(B54="NO"," ",IF(B12&lt;20,B12*15,0.75*B12/2000))</f>
        <v> </v>
      </c>
      <c r="D54" s="28" t="str">
        <f>IF(B54="NO"," ","lb/ton resin processed")</f>
        <v> </v>
      </c>
      <c r="E54" s="28" t="str">
        <f>IF(B54="NO"," ","Unified Emission Factors - July 23, 2001")</f>
        <v> </v>
      </c>
    </row>
    <row r="55" spans="1:5" ht="12.75">
      <c r="A55" s="30"/>
      <c r="B55" s="91"/>
      <c r="C55" s="26"/>
      <c r="D55" s="28"/>
      <c r="E55" s="28"/>
    </row>
    <row r="56" spans="1:4" ht="12.75">
      <c r="A56" s="28"/>
      <c r="B56" s="27"/>
      <c r="C56" s="26"/>
      <c r="D56" s="28"/>
    </row>
    <row r="57" spans="1:4" ht="15.75">
      <c r="A57" s="36" t="s">
        <v>45</v>
      </c>
      <c r="B57" s="27"/>
      <c r="C57" s="26"/>
      <c r="D57" s="28"/>
    </row>
    <row r="58" spans="1:10" ht="25.5">
      <c r="A58" s="67"/>
      <c r="B58" s="71" t="s">
        <v>63</v>
      </c>
      <c r="C58" s="70" t="s">
        <v>107</v>
      </c>
      <c r="D58" s="70" t="s">
        <v>145</v>
      </c>
      <c r="E58" s="74"/>
      <c r="F58" s="74"/>
      <c r="G58" s="74"/>
      <c r="H58" s="72"/>
      <c r="I58" s="72"/>
      <c r="J58" s="69"/>
    </row>
    <row r="59" spans="1:10" ht="12.75">
      <c r="A59" s="67"/>
      <c r="B59" s="73" t="s">
        <v>106</v>
      </c>
      <c r="C59" s="68" t="s">
        <v>146</v>
      </c>
      <c r="D59" s="68" t="s">
        <v>65</v>
      </c>
      <c r="E59" s="72"/>
      <c r="F59" s="72"/>
      <c r="G59" s="72"/>
      <c r="H59" s="72"/>
      <c r="I59" s="72"/>
      <c r="J59" s="72"/>
    </row>
    <row r="60" spans="1:4" ht="12.75">
      <c r="A60" s="66" t="s">
        <v>103</v>
      </c>
      <c r="B60" s="27"/>
      <c r="C60" s="26"/>
      <c r="D60" s="28"/>
    </row>
    <row r="61" spans="1:4" ht="12.75">
      <c r="A61" s="79" t="s">
        <v>144</v>
      </c>
      <c r="B61" s="46" t="str">
        <f>IF(B21="NO"," ",C21)</f>
        <v> </v>
      </c>
      <c r="C61" s="26" t="str">
        <f>IF(B21="NO"," ",B9)</f>
        <v> </v>
      </c>
      <c r="D61" s="92" t="str">
        <f>IF(B21="NO"," ",B61*C61)</f>
        <v> </v>
      </c>
    </row>
    <row r="62" spans="1:4" ht="12.75">
      <c r="A62" s="79" t="s">
        <v>217</v>
      </c>
      <c r="B62" s="46" t="str">
        <f>IF(B22="NO"," ",C22)</f>
        <v> </v>
      </c>
      <c r="C62" s="26" t="str">
        <f>IF(B22="NO"," ",B9)</f>
        <v> </v>
      </c>
      <c r="D62" s="92" t="str">
        <f aca="true" t="shared" si="4" ref="D62:D70">IF(B22="NO"," ",B62*C62)</f>
        <v> </v>
      </c>
    </row>
    <row r="63" spans="1:4" ht="12.75">
      <c r="A63" s="79" t="s">
        <v>210</v>
      </c>
      <c r="B63" s="46" t="str">
        <f aca="true" t="shared" si="5" ref="B63:B70">IF(B23="NO"," ",C23)</f>
        <v> </v>
      </c>
      <c r="C63" s="26" t="str">
        <f>IF(B23="NO"," ",B9)</f>
        <v> </v>
      </c>
      <c r="D63" s="92" t="str">
        <f t="shared" si="4"/>
        <v> </v>
      </c>
    </row>
    <row r="64" spans="1:4" ht="12.75">
      <c r="A64" s="79" t="s">
        <v>218</v>
      </c>
      <c r="B64" s="46" t="str">
        <f t="shared" si="5"/>
        <v> </v>
      </c>
      <c r="C64" s="26" t="str">
        <f>IF(B24="NO"," ",B9)</f>
        <v> </v>
      </c>
      <c r="D64" s="92" t="str">
        <f t="shared" si="4"/>
        <v> </v>
      </c>
    </row>
    <row r="65" spans="1:4" ht="12.75">
      <c r="A65" s="79" t="s">
        <v>211</v>
      </c>
      <c r="B65" s="46">
        <f t="shared" si="5"/>
        <v>107.64599999999999</v>
      </c>
      <c r="C65" s="26">
        <f>IF(B25="NO"," ",B9)</f>
        <v>0.1</v>
      </c>
      <c r="D65" s="92">
        <f t="shared" si="4"/>
        <v>10.7646</v>
      </c>
    </row>
    <row r="66" spans="1:4" ht="12.75">
      <c r="A66" s="79" t="s">
        <v>219</v>
      </c>
      <c r="B66" s="46" t="str">
        <f t="shared" si="5"/>
        <v> </v>
      </c>
      <c r="C66" s="26" t="str">
        <f>IF(B26="NO"," ",B9)</f>
        <v> </v>
      </c>
      <c r="D66" s="92" t="str">
        <f t="shared" si="4"/>
        <v> </v>
      </c>
    </row>
    <row r="67" spans="1:4" ht="12.75">
      <c r="A67" s="79" t="s">
        <v>212</v>
      </c>
      <c r="B67" s="46" t="str">
        <f t="shared" si="5"/>
        <v> </v>
      </c>
      <c r="C67" s="26" t="str">
        <f>IF(B27="NO"," ",B9)</f>
        <v> </v>
      </c>
      <c r="D67" s="92" t="str">
        <f t="shared" si="4"/>
        <v> </v>
      </c>
    </row>
    <row r="68" spans="1:4" ht="12.75">
      <c r="A68" s="79" t="s">
        <v>220</v>
      </c>
      <c r="B68" s="46" t="str">
        <f t="shared" si="5"/>
        <v> </v>
      </c>
      <c r="C68" s="26" t="str">
        <f>IF(B28="NO"," ",B9)</f>
        <v> </v>
      </c>
      <c r="D68" s="92" t="str">
        <f t="shared" si="4"/>
        <v> </v>
      </c>
    </row>
    <row r="69" spans="1:4" ht="12.75">
      <c r="A69" s="79" t="s">
        <v>213</v>
      </c>
      <c r="B69" s="46" t="str">
        <f t="shared" si="5"/>
        <v> </v>
      </c>
      <c r="C69" s="26" t="str">
        <f>IF(B29="NO"," ",B9)</f>
        <v> </v>
      </c>
      <c r="D69" s="92" t="str">
        <f t="shared" si="4"/>
        <v> </v>
      </c>
    </row>
    <row r="70" spans="1:4" ht="12.75">
      <c r="A70" s="79" t="s">
        <v>216</v>
      </c>
      <c r="B70" s="46" t="str">
        <f t="shared" si="5"/>
        <v> </v>
      </c>
      <c r="C70" s="26" t="str">
        <f>IF(B30="NO"," ",B9)</f>
        <v> </v>
      </c>
      <c r="D70" s="92" t="str">
        <f t="shared" si="4"/>
        <v> </v>
      </c>
    </row>
    <row r="71" spans="1:4" ht="12.75">
      <c r="A71" s="31" t="s">
        <v>41</v>
      </c>
      <c r="B71" s="46" t="str">
        <f>IF(B31="NO"," ",C31)</f>
        <v> </v>
      </c>
      <c r="C71" s="26" t="str">
        <f>IF(B31="NO"," ",B9)</f>
        <v> </v>
      </c>
      <c r="D71" s="92" t="str">
        <f>IF(B31="NO"," ",B71*C71)</f>
        <v> </v>
      </c>
    </row>
    <row r="72" spans="1:4" ht="12.75">
      <c r="A72" s="31" t="s">
        <v>42</v>
      </c>
      <c r="B72" s="46" t="str">
        <f>IF(B32="NO"," ",C32)</f>
        <v> </v>
      </c>
      <c r="C72" s="26" t="str">
        <f>IF(B32="NO"," ",B9)</f>
        <v> </v>
      </c>
      <c r="D72" s="92" t="str">
        <f>IF(B32="NO"," ",B72*C72)</f>
        <v> </v>
      </c>
    </row>
    <row r="73" spans="1:4" ht="12.75">
      <c r="A73" s="31" t="s">
        <v>43</v>
      </c>
      <c r="B73" s="46" t="str">
        <f>IF(B33="NO"," ",C33)</f>
        <v> </v>
      </c>
      <c r="C73" s="26" t="str">
        <f>IF(B33="NO"," ",B9)</f>
        <v> </v>
      </c>
      <c r="D73" s="92" t="str">
        <f>IF(B33="NO"," ",B73*C73)</f>
        <v> </v>
      </c>
    </row>
    <row r="74" spans="1:4" ht="12.75">
      <c r="A74" s="25"/>
      <c r="B74" s="46"/>
      <c r="C74" s="26"/>
      <c r="D74" s="92"/>
    </row>
    <row r="75" spans="1:4" ht="12.75">
      <c r="A75" s="28"/>
      <c r="B75" s="46"/>
      <c r="C75" s="26"/>
      <c r="D75" s="92"/>
    </row>
    <row r="76" spans="1:4" ht="12.75">
      <c r="A76" s="66" t="s">
        <v>104</v>
      </c>
      <c r="B76" s="46"/>
      <c r="C76" s="26"/>
      <c r="D76" s="92"/>
    </row>
    <row r="77" spans="1:4" ht="12.75">
      <c r="A77" s="79" t="s">
        <v>144</v>
      </c>
      <c r="B77" s="46" t="str">
        <f>IF(B21="NO"," ",C38)</f>
        <v> </v>
      </c>
      <c r="C77" s="26" t="str">
        <f>IF(AND(B21="yes",B13&gt;0),B9," ")</f>
        <v> </v>
      </c>
      <c r="D77" s="92" t="str">
        <f>IF(B77=" "," ",B77*C77)</f>
        <v> </v>
      </c>
    </row>
    <row r="78" spans="1:6" ht="12.75">
      <c r="A78" s="79" t="s">
        <v>217</v>
      </c>
      <c r="B78" s="46" t="str">
        <f aca="true" t="shared" si="6" ref="B78:B86">IF(B22="NO"," ",C39)</f>
        <v> </v>
      </c>
      <c r="C78" s="26" t="str">
        <f>IF(AND(B22="yes",B13&gt;0),B9," ")</f>
        <v> </v>
      </c>
      <c r="D78" s="92" t="str">
        <f aca="true" t="shared" si="7" ref="D78:D86">IF(B78=" "," ",B78*C78)</f>
        <v> </v>
      </c>
      <c r="F78" s="91"/>
    </row>
    <row r="79" spans="1:4" ht="12.75">
      <c r="A79" s="79" t="s">
        <v>210</v>
      </c>
      <c r="B79" s="46" t="str">
        <f t="shared" si="6"/>
        <v> </v>
      </c>
      <c r="C79" s="26" t="str">
        <f>IF(AND(B23="yes",B13&gt;0),B9," ")</f>
        <v> </v>
      </c>
      <c r="D79" s="92" t="str">
        <f t="shared" si="7"/>
        <v> </v>
      </c>
    </row>
    <row r="80" spans="1:4" ht="12.75">
      <c r="A80" s="79" t="s">
        <v>218</v>
      </c>
      <c r="B80" s="46" t="str">
        <f t="shared" si="6"/>
        <v> </v>
      </c>
      <c r="C80" s="26" t="str">
        <f>IF(AND(B24="yes",B13&gt;0),B9," ")</f>
        <v> </v>
      </c>
      <c r="D80" s="92" t="str">
        <f t="shared" si="7"/>
        <v> </v>
      </c>
    </row>
    <row r="81" spans="1:4" ht="12.75">
      <c r="A81" s="79" t="s">
        <v>211</v>
      </c>
      <c r="B81" s="46">
        <f t="shared" si="6"/>
        <v>7.800000000000001</v>
      </c>
      <c r="C81" s="26">
        <f>IF(AND(B25="yes",B13&gt;0),B9," ")</f>
        <v>0.1</v>
      </c>
      <c r="D81" s="92">
        <f t="shared" si="7"/>
        <v>0.7800000000000001</v>
      </c>
    </row>
    <row r="82" spans="1:4" ht="12.75">
      <c r="A82" s="79" t="s">
        <v>219</v>
      </c>
      <c r="B82" s="46" t="str">
        <f t="shared" si="6"/>
        <v> </v>
      </c>
      <c r="C82" s="26" t="str">
        <f>IF(AND(B26="yes",B13&gt;0),B9," ")</f>
        <v> </v>
      </c>
      <c r="D82" s="92" t="str">
        <f t="shared" si="7"/>
        <v> </v>
      </c>
    </row>
    <row r="83" spans="1:4" ht="12.75">
      <c r="A83" s="79" t="s">
        <v>212</v>
      </c>
      <c r="B83" s="46" t="str">
        <f t="shared" si="6"/>
        <v> </v>
      </c>
      <c r="C83" s="26" t="str">
        <f>IF(AND(B27="yes",B13&gt;0),B9," ")</f>
        <v> </v>
      </c>
      <c r="D83" s="92" t="str">
        <f t="shared" si="7"/>
        <v> </v>
      </c>
    </row>
    <row r="84" spans="1:4" ht="12.75">
      <c r="A84" s="79" t="s">
        <v>220</v>
      </c>
      <c r="B84" s="46" t="str">
        <f t="shared" si="6"/>
        <v> </v>
      </c>
      <c r="C84" s="26" t="str">
        <f>IF(AND(B28="yes",B13&gt;0),B9," ")</f>
        <v> </v>
      </c>
      <c r="D84" s="92" t="str">
        <f t="shared" si="7"/>
        <v> </v>
      </c>
    </row>
    <row r="85" spans="1:4" ht="12.75">
      <c r="A85" s="79" t="s">
        <v>213</v>
      </c>
      <c r="B85" s="46" t="str">
        <f t="shared" si="6"/>
        <v> </v>
      </c>
      <c r="C85" s="26" t="str">
        <f>IF(AND(B29="yes",B13&gt;0),B9," ")</f>
        <v> </v>
      </c>
      <c r="D85" s="92" t="str">
        <f t="shared" si="7"/>
        <v> </v>
      </c>
    </row>
    <row r="86" spans="1:4" ht="12.75">
      <c r="A86" s="79" t="s">
        <v>216</v>
      </c>
      <c r="B86" s="46" t="str">
        <f t="shared" si="6"/>
        <v> </v>
      </c>
      <c r="C86" s="26" t="str">
        <f>IF(AND(B30="yes",B13&gt;0),B9," ")</f>
        <v> </v>
      </c>
      <c r="D86" s="92" t="str">
        <f t="shared" si="7"/>
        <v> </v>
      </c>
    </row>
    <row r="87" spans="1:4" ht="12.75">
      <c r="A87" s="31" t="s">
        <v>41</v>
      </c>
      <c r="B87" s="46" t="str">
        <f>IF(B31="NO"," ",C48)</f>
        <v> </v>
      </c>
      <c r="C87" s="26" t="str">
        <f>IF(AND(B31="yes",B13&gt;0),B9," ")</f>
        <v> </v>
      </c>
      <c r="D87" s="92" t="str">
        <f>IF(B87=" "," ",B87*C87)</f>
        <v> </v>
      </c>
    </row>
    <row r="88" spans="1:4" ht="12.75">
      <c r="A88" s="31" t="s">
        <v>42</v>
      </c>
      <c r="B88" s="46" t="str">
        <f>IF(B32="NO"," ",C49)</f>
        <v> </v>
      </c>
      <c r="C88" s="26" t="str">
        <f>IF(AND(B32="yes",B13&gt;0),B9," ")</f>
        <v> </v>
      </c>
      <c r="D88" s="92" t="str">
        <f>IF(B88=" "," ",B88*C88)</f>
        <v> </v>
      </c>
    </row>
    <row r="89" spans="1:4" ht="12.75">
      <c r="A89" s="31" t="s">
        <v>43</v>
      </c>
      <c r="B89" s="46" t="str">
        <f>IF(B33="NO"," ",C50)</f>
        <v> </v>
      </c>
      <c r="C89" s="26" t="str">
        <f>IF(AND(B33="yes",B13&gt;0),B9," ")</f>
        <v> </v>
      </c>
      <c r="D89" s="92" t="str">
        <f>IF(B89=" "," ",B89*C89)</f>
        <v> </v>
      </c>
    </row>
    <row r="90" spans="1:4" ht="12.75">
      <c r="A90" s="25"/>
      <c r="B90" s="46"/>
      <c r="C90" s="26"/>
      <c r="D90" s="92"/>
    </row>
    <row r="91" spans="1:4" ht="12.75">
      <c r="A91" s="66" t="s">
        <v>105</v>
      </c>
      <c r="B91" s="46"/>
      <c r="C91" s="26"/>
      <c r="D91" s="92"/>
    </row>
    <row r="92" spans="1:4" ht="12.75">
      <c r="A92" s="30" t="s">
        <v>105</v>
      </c>
      <c r="B92" s="46" t="str">
        <f>IF(B54="NO"," ",C54)</f>
        <v> </v>
      </c>
      <c r="C92" s="26" t="str">
        <f>IF(B54="NO"," ",B9)</f>
        <v> </v>
      </c>
      <c r="D92" s="92" t="str">
        <f>IF(B54="NO"," ",B92*C92)</f>
        <v> </v>
      </c>
    </row>
    <row r="93" spans="1:4" ht="12.75">
      <c r="A93" s="25"/>
      <c r="B93" s="46"/>
      <c r="C93" s="26"/>
      <c r="D93" s="40"/>
    </row>
    <row r="94" spans="1:6" ht="12.75">
      <c r="A94" s="25"/>
      <c r="B94" s="46"/>
      <c r="C94" s="25"/>
      <c r="D94" s="96" t="s">
        <v>152</v>
      </c>
      <c r="E94" s="97">
        <f>SUM(D61:D92)</f>
        <v>11.544599999999999</v>
      </c>
      <c r="F94" s="63" t="s">
        <v>64</v>
      </c>
    </row>
    <row r="95" spans="1:6" ht="12.75">
      <c r="A95" s="25"/>
      <c r="B95" s="46"/>
      <c r="C95" s="25"/>
      <c r="D95" s="96"/>
      <c r="E95" s="97"/>
      <c r="F95" s="63"/>
    </row>
    <row r="96" spans="1:2" ht="15.75">
      <c r="A96" s="37" t="s">
        <v>46</v>
      </c>
      <c r="B96" s="81"/>
    </row>
    <row r="97" ht="12.75">
      <c r="B97" s="81"/>
    </row>
    <row r="98" spans="1:4" ht="25.5">
      <c r="A98" s="67"/>
      <c r="B98" s="71" t="s">
        <v>63</v>
      </c>
      <c r="C98" s="70" t="s">
        <v>107</v>
      </c>
      <c r="D98" s="70" t="s">
        <v>145</v>
      </c>
    </row>
    <row r="99" spans="1:4" ht="12.75">
      <c r="A99" s="67"/>
      <c r="B99" s="73" t="s">
        <v>106</v>
      </c>
      <c r="C99" s="68" t="s">
        <v>62</v>
      </c>
      <c r="D99" s="68" t="s">
        <v>89</v>
      </c>
    </row>
    <row r="100" spans="1:4" ht="12.75">
      <c r="A100" s="66" t="s">
        <v>103</v>
      </c>
      <c r="B100" s="27"/>
      <c r="C100" s="26"/>
      <c r="D100" s="28"/>
    </row>
    <row r="101" spans="1:4" ht="12.75">
      <c r="A101" s="79" t="s">
        <v>144</v>
      </c>
      <c r="B101" s="46" t="str">
        <f>IF(B21="NO"," ",C21)</f>
        <v> </v>
      </c>
      <c r="C101" s="26" t="str">
        <f>IF(B21="NO"," ",B10)</f>
        <v> </v>
      </c>
      <c r="D101" s="92" t="str">
        <f>IF(B21="NO"," ",B101*C101/2000)</f>
        <v> </v>
      </c>
    </row>
    <row r="102" spans="1:4" ht="12.75">
      <c r="A102" s="79" t="s">
        <v>217</v>
      </c>
      <c r="B102" s="46" t="str">
        <f>IF(B22="NO"," ",C22)</f>
        <v> </v>
      </c>
      <c r="C102" s="26" t="str">
        <f>IF(B22="NO"," ",B10)</f>
        <v> </v>
      </c>
      <c r="D102" s="92" t="str">
        <f aca="true" t="shared" si="8" ref="D102:D110">IF(B22="NO"," ",B102*C102/2000)</f>
        <v> </v>
      </c>
    </row>
    <row r="103" spans="1:4" ht="12.75">
      <c r="A103" s="79" t="s">
        <v>210</v>
      </c>
      <c r="B103" s="46" t="str">
        <f aca="true" t="shared" si="9" ref="B103:B110">IF(B23="NO"," ",C23)</f>
        <v> </v>
      </c>
      <c r="C103" s="26" t="str">
        <f>IF(B23="NO"," ",B10)</f>
        <v> </v>
      </c>
      <c r="D103" s="92" t="str">
        <f t="shared" si="8"/>
        <v> </v>
      </c>
    </row>
    <row r="104" spans="1:4" ht="12.75">
      <c r="A104" s="79" t="s">
        <v>218</v>
      </c>
      <c r="B104" s="46" t="str">
        <f t="shared" si="9"/>
        <v> </v>
      </c>
      <c r="C104" s="26" t="str">
        <f>IF(B24="NO"," ",B10)</f>
        <v> </v>
      </c>
      <c r="D104" s="92" t="str">
        <f t="shared" si="8"/>
        <v> </v>
      </c>
    </row>
    <row r="105" spans="1:4" ht="12.75">
      <c r="A105" s="79" t="s">
        <v>211</v>
      </c>
      <c r="B105" s="46">
        <f t="shared" si="9"/>
        <v>107.64599999999999</v>
      </c>
      <c r="C105" s="26">
        <f>IF(B25="NO"," ",B10)</f>
        <v>250</v>
      </c>
      <c r="D105" s="92">
        <f t="shared" si="8"/>
        <v>13.455749999999998</v>
      </c>
    </row>
    <row r="106" spans="1:4" ht="12.75">
      <c r="A106" s="79" t="s">
        <v>219</v>
      </c>
      <c r="B106" s="46" t="str">
        <f t="shared" si="9"/>
        <v> </v>
      </c>
      <c r="C106" s="26" t="str">
        <f>IF(B26="NO"," ",B10)</f>
        <v> </v>
      </c>
      <c r="D106" s="92" t="str">
        <f t="shared" si="8"/>
        <v> </v>
      </c>
    </row>
    <row r="107" spans="1:4" ht="12.75">
      <c r="A107" s="79" t="s">
        <v>212</v>
      </c>
      <c r="B107" s="46" t="str">
        <f t="shared" si="9"/>
        <v> </v>
      </c>
      <c r="C107" s="26" t="str">
        <f>IF(B27="NO"," ",B10)</f>
        <v> </v>
      </c>
      <c r="D107" s="92" t="str">
        <f t="shared" si="8"/>
        <v> </v>
      </c>
    </row>
    <row r="108" spans="1:4" ht="12.75">
      <c r="A108" s="79" t="s">
        <v>220</v>
      </c>
      <c r="B108" s="46" t="str">
        <f t="shared" si="9"/>
        <v> </v>
      </c>
      <c r="C108" s="26" t="str">
        <f>IF(B28="NO"," ",B10)</f>
        <v> </v>
      </c>
      <c r="D108" s="92" t="str">
        <f t="shared" si="8"/>
        <v> </v>
      </c>
    </row>
    <row r="109" spans="1:4" ht="12.75">
      <c r="A109" s="79" t="s">
        <v>213</v>
      </c>
      <c r="B109" s="46" t="str">
        <f t="shared" si="9"/>
        <v> </v>
      </c>
      <c r="C109" s="26" t="str">
        <f>IF(B29="NO"," ",B10)</f>
        <v> </v>
      </c>
      <c r="D109" s="92" t="str">
        <f t="shared" si="8"/>
        <v> </v>
      </c>
    </row>
    <row r="110" spans="1:4" ht="12.75">
      <c r="A110" s="79" t="s">
        <v>216</v>
      </c>
      <c r="B110" s="46" t="str">
        <f t="shared" si="9"/>
        <v> </v>
      </c>
      <c r="C110" s="26" t="str">
        <f>IF(B30="NO"," ",B10)</f>
        <v> </v>
      </c>
      <c r="D110" s="92" t="str">
        <f t="shared" si="8"/>
        <v> </v>
      </c>
    </row>
    <row r="111" spans="1:4" ht="12.75">
      <c r="A111" s="31" t="s">
        <v>41</v>
      </c>
      <c r="B111" s="46" t="str">
        <f>IF(B31="NO"," ",C31)</f>
        <v> </v>
      </c>
      <c r="C111" s="26" t="str">
        <f>IF(B31="NO"," ",B10)</f>
        <v> </v>
      </c>
      <c r="D111" s="92" t="str">
        <f>IF(B31="NO"," ",B111*C111/2000)</f>
        <v> </v>
      </c>
    </row>
    <row r="112" spans="1:4" ht="12.75">
      <c r="A112" s="31" t="s">
        <v>42</v>
      </c>
      <c r="B112" s="46" t="str">
        <f>IF(B32="NO"," ",C32)</f>
        <v> </v>
      </c>
      <c r="C112" s="26" t="str">
        <f>IF(B32="NO"," ",B10)</f>
        <v> </v>
      </c>
      <c r="D112" s="92" t="str">
        <f>IF(B32="NO"," ",B112*C112/2000)</f>
        <v> </v>
      </c>
    </row>
    <row r="113" spans="1:4" ht="12.75">
      <c r="A113" s="31" t="s">
        <v>43</v>
      </c>
      <c r="B113" s="46" t="str">
        <f>IF(B33="NO"," ",C33)</f>
        <v> </v>
      </c>
      <c r="C113" s="26" t="str">
        <f>IF(B33="NO"," ",B10)</f>
        <v> </v>
      </c>
      <c r="D113" s="92" t="str">
        <f>IF(B33="NO"," ",B113*C113/2000)</f>
        <v> </v>
      </c>
    </row>
    <row r="114" spans="1:4" ht="12.75">
      <c r="A114" s="25"/>
      <c r="B114" s="46"/>
      <c r="C114" s="26"/>
      <c r="D114" s="92"/>
    </row>
    <row r="115" spans="1:4" ht="12.75">
      <c r="A115" s="28"/>
      <c r="B115" s="46"/>
      <c r="C115" s="26"/>
      <c r="D115" s="92"/>
    </row>
    <row r="116" spans="1:4" ht="12.75">
      <c r="A116" s="66" t="s">
        <v>104</v>
      </c>
      <c r="B116" s="46"/>
      <c r="C116" s="26"/>
      <c r="D116" s="92"/>
    </row>
    <row r="117" spans="1:4" ht="12.75">
      <c r="A117" s="79" t="s">
        <v>144</v>
      </c>
      <c r="B117" s="46" t="str">
        <f>IF(B21="NO"," ",C38)</f>
        <v> </v>
      </c>
      <c r="C117" s="26" t="str">
        <f>IF(AND(B21="yes",B13&gt;0),B10," ")</f>
        <v> </v>
      </c>
      <c r="D117" s="92" t="str">
        <f>IF(B117=" "," ",B117*C117/2000)</f>
        <v> </v>
      </c>
    </row>
    <row r="118" spans="1:4" ht="12.75">
      <c r="A118" s="79" t="s">
        <v>217</v>
      </c>
      <c r="B118" s="46" t="str">
        <f aca="true" t="shared" si="10" ref="B118:B129">IF(B22="NO"," ",C39)</f>
        <v> </v>
      </c>
      <c r="C118" s="26" t="str">
        <f>IF(AND(B22="yes",B13&gt;0),B10," ")</f>
        <v> </v>
      </c>
      <c r="D118" s="92" t="str">
        <f aca="true" t="shared" si="11" ref="D118:D129">IF(B118=" "," ",B118*C118/2000)</f>
        <v> </v>
      </c>
    </row>
    <row r="119" spans="1:4" ht="12.75">
      <c r="A119" s="79" t="s">
        <v>210</v>
      </c>
      <c r="B119" s="46" t="str">
        <f t="shared" si="10"/>
        <v> </v>
      </c>
      <c r="C119" s="26" t="str">
        <f>IF(AND(B23="yes",B13&gt;0),B10," ")</f>
        <v> </v>
      </c>
      <c r="D119" s="92" t="str">
        <f t="shared" si="11"/>
        <v> </v>
      </c>
    </row>
    <row r="120" spans="1:4" ht="12.75">
      <c r="A120" s="79" t="s">
        <v>218</v>
      </c>
      <c r="B120" s="46" t="str">
        <f t="shared" si="10"/>
        <v> </v>
      </c>
      <c r="C120" s="26" t="str">
        <f>IF(AND(B24="yes",B13&gt;0),B10," ")</f>
        <v> </v>
      </c>
      <c r="D120" s="92" t="str">
        <f t="shared" si="11"/>
        <v> </v>
      </c>
    </row>
    <row r="121" spans="1:4" ht="12.75">
      <c r="A121" s="79" t="s">
        <v>211</v>
      </c>
      <c r="B121" s="46">
        <f t="shared" si="10"/>
        <v>7.800000000000001</v>
      </c>
      <c r="C121" s="26">
        <f>IF(AND(B25="yes",B13&gt;0),B10," ")</f>
        <v>250</v>
      </c>
      <c r="D121" s="92">
        <f t="shared" si="11"/>
        <v>0.9750000000000001</v>
      </c>
    </row>
    <row r="122" spans="1:4" ht="12.75">
      <c r="A122" s="79" t="s">
        <v>219</v>
      </c>
      <c r="B122" s="46" t="str">
        <f t="shared" si="10"/>
        <v> </v>
      </c>
      <c r="C122" s="26" t="str">
        <f>IF(AND(B26="yes",B13&gt;0),B10," ")</f>
        <v> </v>
      </c>
      <c r="D122" s="92" t="str">
        <f t="shared" si="11"/>
        <v> </v>
      </c>
    </row>
    <row r="123" spans="1:4" ht="12.75">
      <c r="A123" s="79" t="s">
        <v>212</v>
      </c>
      <c r="B123" s="46" t="str">
        <f t="shared" si="10"/>
        <v> </v>
      </c>
      <c r="C123" s="26" t="str">
        <f>IF(AND(B27="yes",B13&gt;0),B10," ")</f>
        <v> </v>
      </c>
      <c r="D123" s="92" t="str">
        <f t="shared" si="11"/>
        <v> </v>
      </c>
    </row>
    <row r="124" spans="1:4" ht="12.75">
      <c r="A124" s="79" t="s">
        <v>220</v>
      </c>
      <c r="B124" s="46" t="str">
        <f t="shared" si="10"/>
        <v> </v>
      </c>
      <c r="C124" s="26" t="str">
        <f>IF(AND(B28="yes",B13&gt;0),B10," ")</f>
        <v> </v>
      </c>
      <c r="D124" s="92" t="str">
        <f t="shared" si="11"/>
        <v> </v>
      </c>
    </row>
    <row r="125" spans="1:4" ht="12.75">
      <c r="A125" s="79" t="s">
        <v>213</v>
      </c>
      <c r="B125" s="46" t="str">
        <f t="shared" si="10"/>
        <v> </v>
      </c>
      <c r="C125" s="26" t="str">
        <f>IF(AND(B29="yes",B13&gt;0),B10," ")</f>
        <v> </v>
      </c>
      <c r="D125" s="92" t="str">
        <f t="shared" si="11"/>
        <v> </v>
      </c>
    </row>
    <row r="126" spans="1:4" ht="12.75">
      <c r="A126" s="79" t="s">
        <v>216</v>
      </c>
      <c r="B126" s="46" t="str">
        <f t="shared" si="10"/>
        <v> </v>
      </c>
      <c r="C126" s="26" t="str">
        <f>IF(AND(B30="yes",B13&gt;0),B10," ")</f>
        <v> </v>
      </c>
      <c r="D126" s="92" t="str">
        <f t="shared" si="11"/>
        <v> </v>
      </c>
    </row>
    <row r="127" spans="1:4" ht="12.75">
      <c r="A127" s="31" t="s">
        <v>41</v>
      </c>
      <c r="B127" s="46" t="str">
        <f t="shared" si="10"/>
        <v> </v>
      </c>
      <c r="C127" s="26" t="str">
        <f>IF(AND(B31="yes",B13&gt;0),B10," ")</f>
        <v> </v>
      </c>
      <c r="D127" s="92" t="str">
        <f t="shared" si="11"/>
        <v> </v>
      </c>
    </row>
    <row r="128" spans="1:4" ht="12.75">
      <c r="A128" s="31" t="s">
        <v>42</v>
      </c>
      <c r="B128" s="46" t="str">
        <f t="shared" si="10"/>
        <v> </v>
      </c>
      <c r="C128" s="26" t="str">
        <f>IF(AND(B32="yes",B13&gt;0),B10," ")</f>
        <v> </v>
      </c>
      <c r="D128" s="92" t="str">
        <f t="shared" si="11"/>
        <v> </v>
      </c>
    </row>
    <row r="129" spans="1:4" ht="12.75">
      <c r="A129" s="31" t="s">
        <v>43</v>
      </c>
      <c r="B129" s="46" t="str">
        <f t="shared" si="10"/>
        <v> </v>
      </c>
      <c r="C129" s="26" t="str">
        <f>IF(AND(B33="yes",B13&gt;0),B10," ")</f>
        <v> </v>
      </c>
      <c r="D129" s="92" t="str">
        <f t="shared" si="11"/>
        <v> </v>
      </c>
    </row>
    <row r="130" spans="1:4" ht="12.75">
      <c r="A130" s="25"/>
      <c r="B130" s="46"/>
      <c r="C130" s="26"/>
      <c r="D130" s="92"/>
    </row>
    <row r="131" spans="1:4" ht="12.75">
      <c r="A131" s="66" t="s">
        <v>105</v>
      </c>
      <c r="B131" s="46"/>
      <c r="C131" s="26"/>
      <c r="D131" s="92"/>
    </row>
    <row r="132" spans="1:4" ht="12.75">
      <c r="A132" s="30" t="s">
        <v>105</v>
      </c>
      <c r="B132" s="46" t="str">
        <f>IF(B54="NO"," ",C54)</f>
        <v> </v>
      </c>
      <c r="C132" s="26" t="str">
        <f>IF(B54="NO"," ",B10)</f>
        <v> </v>
      </c>
      <c r="D132" s="92" t="str">
        <f>IF(B54="NO"," ",B132*C132/2000)</f>
        <v> </v>
      </c>
    </row>
    <row r="133" spans="1:4" ht="12.75">
      <c r="A133" s="25"/>
      <c r="B133" s="46"/>
      <c r="C133" s="26"/>
      <c r="D133" s="40"/>
    </row>
    <row r="134" spans="1:6" ht="12.75">
      <c r="A134" s="25"/>
      <c r="B134" s="46"/>
      <c r="C134" s="25"/>
      <c r="D134" s="96" t="s">
        <v>152</v>
      </c>
      <c r="E134" s="97">
        <f>SUM(D101:D132)</f>
        <v>14.430749999999998</v>
      </c>
      <c r="F134" s="63" t="s">
        <v>153</v>
      </c>
    </row>
    <row r="135" spans="1:3" ht="14.25">
      <c r="A135" s="29"/>
      <c r="B135" s="89"/>
      <c r="C135" s="25"/>
    </row>
    <row r="136" ht="12.75">
      <c r="B136" s="90"/>
    </row>
    <row r="137" ht="12.75">
      <c r="B137" s="90"/>
    </row>
    <row r="138" ht="12.75">
      <c r="B138" s="90"/>
    </row>
    <row r="139" ht="12.75">
      <c r="B139" s="90"/>
    </row>
    <row r="140" ht="12.75">
      <c r="B140" s="90"/>
    </row>
  </sheetData>
  <mergeCells count="5"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landscape" scale="27" r:id="rId1"/>
  <headerFooter alignWithMargins="0">
    <oddFooter>&amp;LOK INDUSTRIAL COMPOSITES EMISSION CALCULATIONS.XLS&amp;RPRINTED ON RECYCLED PAPER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workbookViewId="0" topLeftCell="A1">
      <selection activeCell="A1" sqref="A1:G1"/>
    </sheetView>
  </sheetViews>
  <sheetFormatPr defaultColWidth="9.140625" defaultRowHeight="12.75"/>
  <cols>
    <col min="1" max="1" width="44.57421875" style="0" customWidth="1"/>
    <col min="2" max="3" width="15.7109375" style="0" customWidth="1"/>
    <col min="4" max="4" width="22.00390625" style="0" customWidth="1"/>
    <col min="5" max="5" width="20.00390625" style="0" customWidth="1"/>
  </cols>
  <sheetData>
    <row r="1" spans="1:7" ht="18">
      <c r="A1" s="226" t="s">
        <v>1</v>
      </c>
      <c r="B1" s="226"/>
      <c r="C1" s="226"/>
      <c r="D1" s="226"/>
      <c r="E1" s="226"/>
      <c r="F1" s="226"/>
      <c r="G1" s="226"/>
    </row>
    <row r="2" spans="1:7" ht="18">
      <c r="A2" s="225" t="s">
        <v>206</v>
      </c>
      <c r="B2" s="225"/>
      <c r="C2" s="225"/>
      <c r="D2" s="225"/>
      <c r="E2" s="225"/>
      <c r="F2" s="225"/>
      <c r="G2" s="225"/>
    </row>
    <row r="3" spans="1:7" ht="18">
      <c r="A3" s="225" t="s">
        <v>205</v>
      </c>
      <c r="B3" s="225"/>
      <c r="C3" s="225"/>
      <c r="D3" s="225"/>
      <c r="E3" s="225"/>
      <c r="F3" s="225"/>
      <c r="G3" s="225"/>
    </row>
    <row r="4" spans="1:7" ht="18">
      <c r="A4" s="227" t="s">
        <v>37</v>
      </c>
      <c r="B4" s="227"/>
      <c r="C4" s="227"/>
      <c r="D4" s="227"/>
      <c r="E4" s="227"/>
      <c r="F4" s="227"/>
      <c r="G4" s="227"/>
    </row>
    <row r="5" spans="1:7" ht="18">
      <c r="A5" s="225" t="s">
        <v>222</v>
      </c>
      <c r="B5" s="225"/>
      <c r="C5" s="225"/>
      <c r="D5" s="225"/>
      <c r="E5" s="225"/>
      <c r="F5" s="225"/>
      <c r="G5" s="225"/>
    </row>
    <row r="6" spans="1:7" ht="18">
      <c r="A6" s="38"/>
      <c r="B6" s="38"/>
      <c r="C6" s="38"/>
      <c r="D6" s="38"/>
      <c r="E6" s="38"/>
      <c r="F6" s="38"/>
      <c r="G6" s="38"/>
    </row>
    <row r="8" spans="1:4" ht="12.75">
      <c r="A8" s="24" t="s">
        <v>29</v>
      </c>
      <c r="B8" s="24" t="s">
        <v>30</v>
      </c>
      <c r="C8" s="24" t="s">
        <v>31</v>
      </c>
      <c r="D8" s="24" t="s">
        <v>32</v>
      </c>
    </row>
    <row r="9" spans="1:4" ht="12.75">
      <c r="A9" s="28" t="s">
        <v>245</v>
      </c>
      <c r="B9" s="146">
        <v>0.15</v>
      </c>
      <c r="C9" s="30" t="s">
        <v>39</v>
      </c>
      <c r="D9" s="28" t="s">
        <v>214</v>
      </c>
    </row>
    <row r="10" spans="1:4" ht="12.75">
      <c r="A10" s="28" t="s">
        <v>49</v>
      </c>
      <c r="B10" s="147">
        <v>275</v>
      </c>
      <c r="C10" s="30" t="s">
        <v>40</v>
      </c>
      <c r="D10" s="28" t="s">
        <v>214</v>
      </c>
    </row>
    <row r="11" spans="1:4" ht="12.75">
      <c r="A11" s="28" t="s">
        <v>50</v>
      </c>
      <c r="B11" s="148">
        <v>40</v>
      </c>
      <c r="C11" s="30" t="s">
        <v>188</v>
      </c>
      <c r="D11" s="28" t="s">
        <v>38</v>
      </c>
    </row>
    <row r="12" spans="1:4" ht="12.75">
      <c r="A12" s="28" t="s">
        <v>246</v>
      </c>
      <c r="B12" s="148">
        <v>0</v>
      </c>
      <c r="C12" s="30" t="s">
        <v>188</v>
      </c>
      <c r="D12" s="28" t="s">
        <v>38</v>
      </c>
    </row>
    <row r="13" spans="1:4" ht="12.75">
      <c r="A13" s="28" t="s">
        <v>247</v>
      </c>
      <c r="B13" s="148">
        <v>5</v>
      </c>
      <c r="C13" s="30" t="s">
        <v>188</v>
      </c>
      <c r="D13" s="28" t="s">
        <v>38</v>
      </c>
    </row>
    <row r="14" spans="1:4" ht="12.75">
      <c r="A14" s="28" t="s">
        <v>221</v>
      </c>
      <c r="B14" s="148">
        <v>0</v>
      </c>
      <c r="C14" s="30" t="s">
        <v>215</v>
      </c>
      <c r="D14" s="28" t="s">
        <v>214</v>
      </c>
    </row>
    <row r="15" spans="1:4" ht="12.75">
      <c r="A15" s="28"/>
      <c r="B15" s="33"/>
      <c r="C15" s="30"/>
      <c r="D15" s="28"/>
    </row>
    <row r="16" spans="1:4" ht="12.75">
      <c r="A16" s="28"/>
      <c r="B16" s="32"/>
      <c r="C16" s="26"/>
      <c r="D16" s="28"/>
    </row>
    <row r="17" spans="1:4" ht="12.75">
      <c r="A17" s="65" t="s">
        <v>226</v>
      </c>
      <c r="B17" s="34"/>
      <c r="C17" s="26"/>
      <c r="D17" s="28" t="s">
        <v>214</v>
      </c>
    </row>
    <row r="18" spans="1:4" ht="12.75">
      <c r="A18" s="65"/>
      <c r="B18" s="34"/>
      <c r="C18" s="66"/>
      <c r="D18" s="28"/>
    </row>
    <row r="19" spans="1:5" ht="12.75">
      <c r="A19" s="66" t="s">
        <v>147</v>
      </c>
      <c r="B19" s="64" t="s">
        <v>102</v>
      </c>
      <c r="C19" s="66" t="s">
        <v>63</v>
      </c>
      <c r="D19" s="24" t="s">
        <v>31</v>
      </c>
      <c r="E19" s="24" t="s">
        <v>32</v>
      </c>
    </row>
    <row r="20" spans="1:5" ht="12.75">
      <c r="A20" s="79"/>
      <c r="B20" s="64"/>
      <c r="C20" s="66"/>
      <c r="D20" s="24"/>
      <c r="E20" s="24"/>
    </row>
    <row r="21" spans="1:5" ht="12.75">
      <c r="A21" s="79" t="s">
        <v>143</v>
      </c>
      <c r="B21" s="87" t="s">
        <v>24</v>
      </c>
      <c r="C21" s="46" t="str">
        <f>IF(B21="NO"," ",IF(B11&lt;33,(0.126*B11/100*2000),((0.286*B11/100)-0.0529)*2000))</f>
        <v> </v>
      </c>
      <c r="D21" s="28" t="str">
        <f>IF(B21="NO"," ","lb/ton resin processed")</f>
        <v> </v>
      </c>
      <c r="E21" s="28" t="str">
        <f>IF(B21="NO"," ","40 CFR 63, Subaprt WWWW, Table 1")</f>
        <v> </v>
      </c>
    </row>
    <row r="22" spans="1:5" ht="12.75">
      <c r="A22" s="79" t="s">
        <v>217</v>
      </c>
      <c r="B22" s="87" t="s">
        <v>24</v>
      </c>
      <c r="C22" s="46" t="str">
        <f>IF(B22="NO"," ",IF(B11&lt;33,(0.126*B11/100*2000)*(1-(0.5*B14)),((0.286*B11/100)-0.0529)*2000)*(1-(0.5*B14)))</f>
        <v> </v>
      </c>
      <c r="D22" s="28" t="str">
        <f aca="true" t="shared" si="0" ref="D22:D30">IF(B22="NO"," ","lb/ton resin processed")</f>
        <v> </v>
      </c>
      <c r="E22" s="28" t="str">
        <f>IF(B22="NO"," ","40 CFR 63, Subaprt WWWW, Table 1")</f>
        <v> </v>
      </c>
    </row>
    <row r="23" spans="1:5" ht="12.75">
      <c r="A23" s="79" t="s">
        <v>210</v>
      </c>
      <c r="B23" s="87" t="s">
        <v>24</v>
      </c>
      <c r="C23" s="46" t="str">
        <f>IF(B23="NO"," ",IF(B11&lt;33,(0.169*B11/100*2000),((0.714*B11/100)-0.18)*2000))</f>
        <v> </v>
      </c>
      <c r="D23" s="28" t="str">
        <f t="shared" si="0"/>
        <v> </v>
      </c>
      <c r="E23" s="28" t="str">
        <f>IF(B23="NO"," ","40 CFR 63, Subaprt WWWW, Table 1")</f>
        <v> </v>
      </c>
    </row>
    <row r="24" spans="1:5" ht="12.75">
      <c r="A24" s="79" t="s">
        <v>218</v>
      </c>
      <c r="B24" s="87" t="s">
        <v>24</v>
      </c>
      <c r="C24" s="46" t="str">
        <f>IF(B24="NO"," ",IF(B11&lt;33,(0.169*B11/100*2000)*(1-(0.45*B14)),((0.714*B11/100)-0.18)*2000)*(1-(0.45*B14)))</f>
        <v> </v>
      </c>
      <c r="D24" s="28" t="str">
        <f t="shared" si="0"/>
        <v> </v>
      </c>
      <c r="E24" s="28" t="str">
        <f>IF(B24="NO"," ","40 CFR 63, Subaprt WWWW, Table 1")</f>
        <v> </v>
      </c>
    </row>
    <row r="25" spans="1:5" ht="12.75">
      <c r="A25" s="79" t="s">
        <v>211</v>
      </c>
      <c r="B25" s="87" t="s">
        <v>24</v>
      </c>
      <c r="C25" s="46" t="str">
        <f>IF(B25="NO"," ",IF(B11&lt;33,(0.13*B11/100*2000),((0.714*B11/100)-0.18)*2000*0.77))</f>
        <v> </v>
      </c>
      <c r="D25" s="28" t="str">
        <f t="shared" si="0"/>
        <v> </v>
      </c>
      <c r="E25" s="28" t="str">
        <f>IF(B25="NO"," ","Unified Emission Factors - July 23, 2001")</f>
        <v> </v>
      </c>
    </row>
    <row r="26" spans="1:5" ht="12.75">
      <c r="A26" s="79" t="s">
        <v>219</v>
      </c>
      <c r="B26" s="87" t="s">
        <v>24</v>
      </c>
      <c r="C26" s="46" t="str">
        <f>IF(B26="NO"," ",IF(B11&lt;33,(0.13*B11/100*2000)*(1-(0.45*B14)),((0.714*B11/100)-0.18)*2000*0.77*(1-(0.45*B14))))</f>
        <v> </v>
      </c>
      <c r="D26" s="28" t="str">
        <f t="shared" si="0"/>
        <v> </v>
      </c>
      <c r="E26" s="28" t="str">
        <f aca="true" t="shared" si="1" ref="E26:E31">IF(B26="NO"," ","40 CFR 63, Subaprt WWWW, Table 1")</f>
        <v> </v>
      </c>
    </row>
    <row r="27" spans="1:5" ht="12.75">
      <c r="A27" s="79" t="s">
        <v>212</v>
      </c>
      <c r="B27" s="87" t="s">
        <v>24</v>
      </c>
      <c r="C27" s="46" t="str">
        <f>IF(B27="NO"," ",IF(B11&lt;33,(0.107*B11/100*2000),((0.157*B11/100)-0.0165)*2000))</f>
        <v> </v>
      </c>
      <c r="D27" s="28" t="str">
        <f t="shared" si="0"/>
        <v> </v>
      </c>
      <c r="E27" s="28" t="str">
        <f t="shared" si="1"/>
        <v> </v>
      </c>
    </row>
    <row r="28" spans="1:5" ht="12.75">
      <c r="A28" s="79" t="s">
        <v>220</v>
      </c>
      <c r="B28" s="87" t="s">
        <v>24</v>
      </c>
      <c r="C28" s="46" t="str">
        <f>IF(B28="NO"," ",IF(B11&lt;33,(0.107*B11/100*2000)*(1-(0.45*B14)),((0.157*B11/100)-0.0165)*2000*(1-(0.45*B14))))</f>
        <v> </v>
      </c>
      <c r="D28" s="28" t="str">
        <f t="shared" si="0"/>
        <v> </v>
      </c>
      <c r="E28" s="28" t="str">
        <f t="shared" si="1"/>
        <v> </v>
      </c>
    </row>
    <row r="29" spans="1:5" ht="12.75">
      <c r="A29" s="79" t="s">
        <v>213</v>
      </c>
      <c r="B29" s="87" t="s">
        <v>44</v>
      </c>
      <c r="C29" s="46">
        <f>IF(B29="NO"," ",IF(B11&lt;33,(0.184*B11/100*2000),((0.2746*B11/100)-0.0298)*2000))</f>
        <v>160.08</v>
      </c>
      <c r="D29" s="28" t="str">
        <f t="shared" si="0"/>
        <v>lb/ton resin processed</v>
      </c>
      <c r="E29" s="28" t="str">
        <f t="shared" si="1"/>
        <v>40 CFR 63, Subaprt WWWW, Table 1</v>
      </c>
    </row>
    <row r="30" spans="1:5" ht="12.75">
      <c r="A30" s="79" t="s">
        <v>216</v>
      </c>
      <c r="B30" s="87" t="s">
        <v>24</v>
      </c>
      <c r="C30" s="46" t="str">
        <f>IF(B30="NO"," ",IF(B11&lt;33,(0.12*B11/100*2000),((0.2746*B11/100)-0.0298)*2000*0.65))</f>
        <v> </v>
      </c>
      <c r="D30" s="28" t="str">
        <f t="shared" si="0"/>
        <v> </v>
      </c>
      <c r="E30" s="28" t="str">
        <f t="shared" si="1"/>
        <v> </v>
      </c>
    </row>
    <row r="31" spans="1:5" ht="12.75">
      <c r="A31" s="31" t="s">
        <v>41</v>
      </c>
      <c r="B31" s="87" t="s">
        <v>24</v>
      </c>
      <c r="C31" s="46" t="str">
        <f>IF(B31="NO"," ",IF(B11&lt;19,(0.445*B11/100*2000),((1.03646*B11/100)-0.195)*2000))</f>
        <v> </v>
      </c>
      <c r="D31" s="28" t="str">
        <f>IF(B31="NO"," ","lb/ton gelcoat processed")</f>
        <v> </v>
      </c>
      <c r="E31" s="28" t="str">
        <f t="shared" si="1"/>
        <v> </v>
      </c>
    </row>
    <row r="32" spans="1:5" ht="12.75">
      <c r="A32" s="31" t="s">
        <v>42</v>
      </c>
      <c r="B32" s="87" t="s">
        <v>24</v>
      </c>
      <c r="C32" s="46" t="str">
        <f>IF(B32="NO"," ",IF(B11&lt;33,(0.325*B11/100*2000),(0.73*((1.03646*B11/100)-0.195))*2000))</f>
        <v> </v>
      </c>
      <c r="D32" s="28" t="str">
        <f>IF(B32="NO"," ","lb/ton gelcoat processed")</f>
        <v> </v>
      </c>
      <c r="E32" s="28" t="str">
        <f>IF(B32="NO"," ","Unified Emission Factors - July 23, 2001")</f>
        <v> </v>
      </c>
    </row>
    <row r="33" spans="1:5" ht="12.75">
      <c r="A33" s="31" t="s">
        <v>43</v>
      </c>
      <c r="B33" s="88" t="s">
        <v>24</v>
      </c>
      <c r="C33" s="46" t="str">
        <f>IF(B33="NO"," ",IF(B11&lt;19,(0.185*B11/100*2000),((0.4506*B11/100)-0.0505)*2000))</f>
        <v> </v>
      </c>
      <c r="D33" s="28" t="str">
        <f>IF(B33="NO"," ","lb/ton gelcoat processed")</f>
        <v> </v>
      </c>
      <c r="E33" s="28" t="str">
        <f>IF(B33="NO"," ","Unified Emission Factors - July 23, 2001")</f>
        <v> </v>
      </c>
    </row>
    <row r="34" spans="1:4" ht="12.75">
      <c r="A34" s="28"/>
      <c r="B34" s="27"/>
      <c r="C34" s="26"/>
      <c r="D34" s="28"/>
    </row>
    <row r="35" ht="12.75">
      <c r="A35" s="93" t="s">
        <v>149</v>
      </c>
    </row>
    <row r="36" ht="12.75">
      <c r="A36" s="91" t="s">
        <v>150</v>
      </c>
    </row>
    <row r="37" ht="12.75">
      <c r="A37" s="91"/>
    </row>
    <row r="38" spans="1:5" ht="12.75">
      <c r="A38" s="28" t="s">
        <v>143</v>
      </c>
      <c r="B38" s="91" t="str">
        <f>IF(AND(B21="yes",B13&gt;0),"YES"," ")</f>
        <v> </v>
      </c>
      <c r="C38" s="46" t="str">
        <f>IF(B38=" "," ",IF(B13&lt;33,(0.126*B13/100*2000),((0.286*B13/100)-0.0529)*2000))</f>
        <v> </v>
      </c>
      <c r="D38" s="28" t="str">
        <f>IF(B38=" "," ","lb/ton resin processed")</f>
        <v> </v>
      </c>
      <c r="E38" s="28" t="str">
        <f>IF(B38=" "," ","40 CFR 63, Subaprt WWWW, Table 1")</f>
        <v> </v>
      </c>
    </row>
    <row r="39" spans="1:5" ht="12.75">
      <c r="A39" s="79" t="s">
        <v>217</v>
      </c>
      <c r="B39" s="91" t="str">
        <f>IF(AND(B22="yes",B13&gt;0),"YES"," ")</f>
        <v> </v>
      </c>
      <c r="C39" s="46" t="str">
        <f>IF(B39=" "," ",IF(B13&lt;33,(0.126*B13/100*2000)*(1-(0.5*B14)),((0.286*B13/100)-0.0529)*2000)*(1-(0.5*B14)))</f>
        <v> </v>
      </c>
      <c r="D39" s="28" t="str">
        <f aca="true" t="shared" si="2" ref="D39:D47">IF(B39=" "," ","lb/ton resin processed")</f>
        <v> </v>
      </c>
      <c r="E39" s="28" t="str">
        <f>IF(B39=" "," ","40 CFR 63, Subaprt WWWW, Table 1")</f>
        <v> </v>
      </c>
    </row>
    <row r="40" spans="1:5" ht="12.75">
      <c r="A40" s="79" t="s">
        <v>210</v>
      </c>
      <c r="B40" s="91" t="str">
        <f>IF(AND(B23="yes",B13&gt;0),"YES"," ")</f>
        <v> </v>
      </c>
      <c r="C40" s="46" t="str">
        <f>IF(B40=" "," ",IF(B13&lt;33,(0.169*B13/100*2000),((0.714*B13/100)-0.18)*2000))</f>
        <v> </v>
      </c>
      <c r="D40" s="28" t="str">
        <f t="shared" si="2"/>
        <v> </v>
      </c>
      <c r="E40" s="28" t="str">
        <f>IF(B40=" "," ","40 CFR 63, Subaprt WWWW, Table 1")</f>
        <v> </v>
      </c>
    </row>
    <row r="41" spans="1:5" ht="12.75">
      <c r="A41" s="79" t="s">
        <v>218</v>
      </c>
      <c r="B41" s="91" t="str">
        <f>IF(AND(B24="yes",B13&gt;0),"YES"," ")</f>
        <v> </v>
      </c>
      <c r="C41" s="46" t="str">
        <f>IF(B41=" "," ",IF(B13&lt;33,(0.169*B13/100*2000)*(1-(0.45*B14)),((0.714*B13/100)-0.18)*2000)*(1-(0.45*B14)))</f>
        <v> </v>
      </c>
      <c r="D41" s="28" t="str">
        <f t="shared" si="2"/>
        <v> </v>
      </c>
      <c r="E41" s="28" t="str">
        <f>IF(B41=" "," ","40 CFR 63, Subaprt WWWW, Table 1")</f>
        <v> </v>
      </c>
    </row>
    <row r="42" spans="1:5" ht="12.75">
      <c r="A42" s="79" t="s">
        <v>211</v>
      </c>
      <c r="B42" s="91" t="str">
        <f>IF(AND(B25="yes",B13&gt;0),"YES"," ")</f>
        <v> </v>
      </c>
      <c r="C42" s="46" t="str">
        <f>IF(B42=" "," ",IF(B13&lt;33,(0.13*B13/100*2000),((0.714*B13/100)-0.18)*2000*0.77))</f>
        <v> </v>
      </c>
      <c r="D42" s="28" t="str">
        <f t="shared" si="2"/>
        <v> </v>
      </c>
      <c r="E42" s="28" t="str">
        <f>IF(B42=" "," ","Unified Emission Factors - July 23, 2001")</f>
        <v> </v>
      </c>
    </row>
    <row r="43" spans="1:5" ht="12.75">
      <c r="A43" s="79" t="s">
        <v>219</v>
      </c>
      <c r="B43" s="91" t="str">
        <f>IF(AND(B26="yes",B13&gt;0),"YES"," ")</f>
        <v> </v>
      </c>
      <c r="C43" s="46" t="str">
        <f>IF(B43=" "," ",IF(B13&lt;33,(0.13*B13/100*2000)*(1-(0.45*B14)),((0.714*B13/100)-0.18)*2000*0.77*(1-(0.45*B14))))</f>
        <v> </v>
      </c>
      <c r="D43" s="28" t="str">
        <f t="shared" si="2"/>
        <v> </v>
      </c>
      <c r="E43" s="28" t="str">
        <f aca="true" t="shared" si="3" ref="E43:E48">IF(B43=" "," ","40 CFR 63, Subaprt WWWW, Table 1")</f>
        <v> </v>
      </c>
    </row>
    <row r="44" spans="1:5" ht="12.75">
      <c r="A44" s="79" t="s">
        <v>212</v>
      </c>
      <c r="B44" s="91" t="str">
        <f>IF(AND(B27="yes",B13&gt;0),"YES"," ")</f>
        <v> </v>
      </c>
      <c r="C44" s="46" t="str">
        <f>IF(B44=" "," ",IF(B13&lt;33,(0.107*B13/100*2000),((0.157*B13/100)-0.0165)*2000))</f>
        <v> </v>
      </c>
      <c r="D44" s="28" t="str">
        <f t="shared" si="2"/>
        <v> </v>
      </c>
      <c r="E44" s="28" t="str">
        <f t="shared" si="3"/>
        <v> </v>
      </c>
    </row>
    <row r="45" spans="1:5" ht="12.75">
      <c r="A45" s="79" t="s">
        <v>220</v>
      </c>
      <c r="B45" s="91" t="str">
        <f>IF(AND(B28="yes",B13&gt;0),"YES"," ")</f>
        <v> </v>
      </c>
      <c r="C45" s="46" t="str">
        <f>IF(B45=" "," ",IF(B13&lt;33,(0.107*B13/100*2000)*(1-(0.45*B14)),((0.157*B13/100)-0.0165)*2000*(1-(0.45*B14))))</f>
        <v> </v>
      </c>
      <c r="D45" s="28" t="str">
        <f t="shared" si="2"/>
        <v> </v>
      </c>
      <c r="E45" s="28" t="str">
        <f t="shared" si="3"/>
        <v> </v>
      </c>
    </row>
    <row r="46" spans="1:5" ht="12.75">
      <c r="A46" s="79" t="s">
        <v>213</v>
      </c>
      <c r="B46" s="91" t="str">
        <f>IF(AND(B29="yes",B13&gt;0),"YES"," ")</f>
        <v>YES</v>
      </c>
      <c r="C46" s="46">
        <f>IF(B46=" "," ",IF(B13&lt;33,(0.184*B13/100*2000),((0.2746*B13/100)-0.0298)*2000))</f>
        <v>18.4</v>
      </c>
      <c r="D46" s="28" t="str">
        <f t="shared" si="2"/>
        <v>lb/ton resin processed</v>
      </c>
      <c r="E46" s="28" t="str">
        <f t="shared" si="3"/>
        <v>40 CFR 63, Subaprt WWWW, Table 1</v>
      </c>
    </row>
    <row r="47" spans="1:5" ht="12.75">
      <c r="A47" s="79" t="s">
        <v>216</v>
      </c>
      <c r="B47" s="91" t="str">
        <f>IF(AND(B30="yes",B13&gt;0),"YES"," ")</f>
        <v> </v>
      </c>
      <c r="C47" s="46" t="str">
        <f>IF(B47=" "," ",IF(B13&lt;33,(0.12*B13/100*2000),((0.2746*B13/100)-0.0298)*2000*0.65))</f>
        <v> </v>
      </c>
      <c r="D47" s="28" t="str">
        <f t="shared" si="2"/>
        <v> </v>
      </c>
      <c r="E47" s="28" t="str">
        <f t="shared" si="3"/>
        <v> </v>
      </c>
    </row>
    <row r="48" spans="1:5" ht="12.75">
      <c r="A48" s="31" t="s">
        <v>41</v>
      </c>
      <c r="B48" s="91" t="str">
        <f>IF(AND(B31="yes",B13&gt;0),"YES"," ")</f>
        <v> </v>
      </c>
      <c r="C48" s="46" t="str">
        <f>IF(B48=" "," ",IF(B13&lt;19,(0.445*B13/100*2000),((1.03646*B13/100)-0.195)*2000))</f>
        <v> </v>
      </c>
      <c r="D48" s="28" t="str">
        <f>IF(B48=" "," ","lb/ton gelcoat processed")</f>
        <v> </v>
      </c>
      <c r="E48" s="28" t="str">
        <f t="shared" si="3"/>
        <v> </v>
      </c>
    </row>
    <row r="49" spans="1:5" ht="12.75">
      <c r="A49" s="31" t="s">
        <v>42</v>
      </c>
      <c r="B49" s="91" t="str">
        <f>IF(AND(B32="yes",B13&gt;0),"YES"," ")</f>
        <v> </v>
      </c>
      <c r="C49" s="46" t="str">
        <f>IF(B49=" "," ",IF(B13&lt;33,(0.325*B13/100*2000),(0.73*((1.03646*B13/100)-0.195))*2000))</f>
        <v> </v>
      </c>
      <c r="D49" s="28" t="str">
        <f>IF(B49=" "," ","lb/ton gelcoat processed")</f>
        <v> </v>
      </c>
      <c r="E49" s="28" t="str">
        <f>IF(B49=" "," ","Unified Emission Factors - July 23, 2001")</f>
        <v> </v>
      </c>
    </row>
    <row r="50" spans="1:5" ht="12.75">
      <c r="A50" s="31" t="s">
        <v>43</v>
      </c>
      <c r="B50" s="91" t="str">
        <f>IF(AND(B33="yes",B13&gt;0),"YES"," ")</f>
        <v> </v>
      </c>
      <c r="C50" s="46" t="str">
        <f>IF(B50=" "," ",IF(B13&lt;19,(0.185*B13/100*2000),((0.4506*B13/100)-0.0505)*2000))</f>
        <v> </v>
      </c>
      <c r="D50" s="28" t="str">
        <f>IF(B50=" "," ","lb/ton gelcoat processed")</f>
        <v> </v>
      </c>
      <c r="E50" s="28" t="str">
        <f>IF(B50=" "," ","Unified Emission Factors - July 23, 2001")</f>
        <v> </v>
      </c>
    </row>
    <row r="51" spans="1:5" ht="12.75">
      <c r="A51" s="30"/>
      <c r="B51" s="91"/>
      <c r="C51" s="26"/>
      <c r="D51" s="28"/>
      <c r="E51" s="28"/>
    </row>
    <row r="52" spans="1:5" ht="12.75">
      <c r="A52" s="66" t="s">
        <v>148</v>
      </c>
      <c r="B52" s="91"/>
      <c r="C52" s="26"/>
      <c r="D52" s="28"/>
      <c r="E52" s="28"/>
    </row>
    <row r="53" spans="1:5" ht="12.75">
      <c r="A53" s="66" t="s">
        <v>150</v>
      </c>
      <c r="B53" s="91"/>
      <c r="C53" s="26"/>
      <c r="D53" s="28"/>
      <c r="E53" s="28"/>
    </row>
    <row r="54" spans="1:5" ht="12.75">
      <c r="A54" s="30" t="s">
        <v>151</v>
      </c>
      <c r="B54" s="91" t="str">
        <f>IF(B12&gt;0,"YES","NO")</f>
        <v>NO</v>
      </c>
      <c r="C54" s="26" t="str">
        <f>IF(B54="NO"," ",IF(B12&lt;20,B12*15,0.75*B12/2000))</f>
        <v> </v>
      </c>
      <c r="D54" s="28" t="str">
        <f>IF(B54="NO"," ","lb/ton resin processed")</f>
        <v> </v>
      </c>
      <c r="E54" s="28" t="str">
        <f>IF(B54="NO"," ","Unified Emission Factors - July 23, 2001")</f>
        <v> </v>
      </c>
    </row>
    <row r="55" spans="1:5" ht="12.75">
      <c r="A55" s="30"/>
      <c r="B55" s="91"/>
      <c r="C55" s="26"/>
      <c r="D55" s="28"/>
      <c r="E55" s="28"/>
    </row>
    <row r="56" spans="1:4" ht="12.75">
      <c r="A56" s="28"/>
      <c r="B56" s="27"/>
      <c r="C56" s="26"/>
      <c r="D56" s="28"/>
    </row>
    <row r="57" spans="1:4" ht="15.75">
      <c r="A57" s="36" t="s">
        <v>45</v>
      </c>
      <c r="B57" s="27"/>
      <c r="C57" s="26"/>
      <c r="D57" s="28"/>
    </row>
    <row r="58" spans="1:10" ht="25.5">
      <c r="A58" s="67"/>
      <c r="B58" s="71" t="s">
        <v>63</v>
      </c>
      <c r="C58" s="70" t="s">
        <v>107</v>
      </c>
      <c r="D58" s="70" t="s">
        <v>145</v>
      </c>
      <c r="E58" s="74"/>
      <c r="F58" s="74"/>
      <c r="G58" s="74"/>
      <c r="H58" s="72"/>
      <c r="I58" s="72"/>
      <c r="J58" s="69"/>
    </row>
    <row r="59" spans="1:10" ht="12.75">
      <c r="A59" s="67"/>
      <c r="B59" s="73" t="s">
        <v>106</v>
      </c>
      <c r="C59" s="68" t="s">
        <v>146</v>
      </c>
      <c r="D59" s="68" t="s">
        <v>65</v>
      </c>
      <c r="E59" s="72"/>
      <c r="F59" s="72"/>
      <c r="G59" s="72"/>
      <c r="H59" s="72"/>
      <c r="I59" s="72"/>
      <c r="J59" s="72"/>
    </row>
    <row r="60" spans="1:4" ht="12.75">
      <c r="A60" s="66" t="s">
        <v>103</v>
      </c>
      <c r="B60" s="27"/>
      <c r="C60" s="26"/>
      <c r="D60" s="28"/>
    </row>
    <row r="61" spans="1:4" ht="12.75">
      <c r="A61" s="79" t="s">
        <v>144</v>
      </c>
      <c r="B61" s="46" t="str">
        <f aca="true" t="shared" si="4" ref="B61:B73">IF(B21="NO"," ",C21)</f>
        <v> </v>
      </c>
      <c r="C61" s="26" t="str">
        <f>IF(B21="NO"," ",B9)</f>
        <v> </v>
      </c>
      <c r="D61" s="92" t="str">
        <f aca="true" t="shared" si="5" ref="D61:D73">IF(B21="NO"," ",B61*C61)</f>
        <v> </v>
      </c>
    </row>
    <row r="62" spans="1:4" ht="12.75">
      <c r="A62" s="79" t="s">
        <v>217</v>
      </c>
      <c r="B62" s="46" t="str">
        <f t="shared" si="4"/>
        <v> </v>
      </c>
      <c r="C62" s="26" t="str">
        <f>IF(B22="NO"," ",B9)</f>
        <v> </v>
      </c>
      <c r="D62" s="92" t="str">
        <f t="shared" si="5"/>
        <v> </v>
      </c>
    </row>
    <row r="63" spans="1:4" ht="12.75">
      <c r="A63" s="79" t="s">
        <v>210</v>
      </c>
      <c r="B63" s="46" t="str">
        <f t="shared" si="4"/>
        <v> </v>
      </c>
      <c r="C63" s="26" t="str">
        <f>IF(B23="NO"," ",B9)</f>
        <v> </v>
      </c>
      <c r="D63" s="92" t="str">
        <f t="shared" si="5"/>
        <v> </v>
      </c>
    </row>
    <row r="64" spans="1:4" ht="12.75">
      <c r="A64" s="79" t="s">
        <v>218</v>
      </c>
      <c r="B64" s="46" t="str">
        <f t="shared" si="4"/>
        <v> </v>
      </c>
      <c r="C64" s="26" t="str">
        <f>IF(B24="NO"," ",B9)</f>
        <v> </v>
      </c>
      <c r="D64" s="92" t="str">
        <f t="shared" si="5"/>
        <v> </v>
      </c>
    </row>
    <row r="65" spans="1:4" ht="12.75">
      <c r="A65" s="79" t="s">
        <v>211</v>
      </c>
      <c r="B65" s="46" t="str">
        <f t="shared" si="4"/>
        <v> </v>
      </c>
      <c r="C65" s="26" t="str">
        <f>IF(B25="NO"," ",B9)</f>
        <v> </v>
      </c>
      <c r="D65" s="92" t="str">
        <f t="shared" si="5"/>
        <v> </v>
      </c>
    </row>
    <row r="66" spans="1:4" ht="12.75">
      <c r="A66" s="79" t="s">
        <v>219</v>
      </c>
      <c r="B66" s="46" t="str">
        <f t="shared" si="4"/>
        <v> </v>
      </c>
      <c r="C66" s="26" t="str">
        <f>IF(B26="NO"," ",B9)</f>
        <v> </v>
      </c>
      <c r="D66" s="92" t="str">
        <f t="shared" si="5"/>
        <v> </v>
      </c>
    </row>
    <row r="67" spans="1:4" ht="12.75">
      <c r="A67" s="79" t="s">
        <v>212</v>
      </c>
      <c r="B67" s="46" t="str">
        <f t="shared" si="4"/>
        <v> </v>
      </c>
      <c r="C67" s="26" t="str">
        <f>IF(B27="NO"," ",B9)</f>
        <v> </v>
      </c>
      <c r="D67" s="92" t="str">
        <f t="shared" si="5"/>
        <v> </v>
      </c>
    </row>
    <row r="68" spans="1:4" ht="12.75">
      <c r="A68" s="79" t="s">
        <v>220</v>
      </c>
      <c r="B68" s="46" t="str">
        <f t="shared" si="4"/>
        <v> </v>
      </c>
      <c r="C68" s="26" t="str">
        <f>IF(B28="NO"," ",B9)</f>
        <v> </v>
      </c>
      <c r="D68" s="92" t="str">
        <f t="shared" si="5"/>
        <v> </v>
      </c>
    </row>
    <row r="69" spans="1:4" ht="12.75">
      <c r="A69" s="79" t="s">
        <v>213</v>
      </c>
      <c r="B69" s="46">
        <f t="shared" si="4"/>
        <v>160.08</v>
      </c>
      <c r="C69" s="26">
        <f>IF(B29="NO"," ",B9)</f>
        <v>0.15</v>
      </c>
      <c r="D69" s="92">
        <f t="shared" si="5"/>
        <v>24.012</v>
      </c>
    </row>
    <row r="70" spans="1:4" ht="12.75">
      <c r="A70" s="79" t="s">
        <v>216</v>
      </c>
      <c r="B70" s="46" t="str">
        <f t="shared" si="4"/>
        <v> </v>
      </c>
      <c r="C70" s="26" t="str">
        <f>IF(B30="NO"," ",B9)</f>
        <v> </v>
      </c>
      <c r="D70" s="92" t="str">
        <f t="shared" si="5"/>
        <v> </v>
      </c>
    </row>
    <row r="71" spans="1:4" ht="12.75">
      <c r="A71" s="31" t="s">
        <v>41</v>
      </c>
      <c r="B71" s="46" t="str">
        <f t="shared" si="4"/>
        <v> </v>
      </c>
      <c r="C71" s="26" t="str">
        <f>IF(B31="NO"," ",B9)</f>
        <v> </v>
      </c>
      <c r="D71" s="92" t="str">
        <f t="shared" si="5"/>
        <v> </v>
      </c>
    </row>
    <row r="72" spans="1:4" ht="12.75">
      <c r="A72" s="31" t="s">
        <v>42</v>
      </c>
      <c r="B72" s="46" t="str">
        <f t="shared" si="4"/>
        <v> </v>
      </c>
      <c r="C72" s="26" t="str">
        <f>IF(B32="NO"," ",B9)</f>
        <v> </v>
      </c>
      <c r="D72" s="92" t="str">
        <f t="shared" si="5"/>
        <v> </v>
      </c>
    </row>
    <row r="73" spans="1:4" ht="12.75">
      <c r="A73" s="31" t="s">
        <v>43</v>
      </c>
      <c r="B73" s="46" t="str">
        <f t="shared" si="4"/>
        <v> </v>
      </c>
      <c r="C73" s="26" t="str">
        <f>IF(B33="NO"," ",B9)</f>
        <v> </v>
      </c>
      <c r="D73" s="92" t="str">
        <f t="shared" si="5"/>
        <v> </v>
      </c>
    </row>
    <row r="74" spans="1:4" ht="12.75">
      <c r="A74" s="25"/>
      <c r="B74" s="46"/>
      <c r="C74" s="26"/>
      <c r="D74" s="92"/>
    </row>
    <row r="75" spans="1:4" ht="12.75">
      <c r="A75" s="28"/>
      <c r="B75" s="46"/>
      <c r="C75" s="26"/>
      <c r="D75" s="92"/>
    </row>
    <row r="76" spans="1:4" ht="12.75">
      <c r="A76" s="66" t="s">
        <v>104</v>
      </c>
      <c r="B76" s="46"/>
      <c r="C76" s="26"/>
      <c r="D76" s="92"/>
    </row>
    <row r="77" spans="1:4" ht="12.75">
      <c r="A77" s="79" t="s">
        <v>144</v>
      </c>
      <c r="B77" s="46" t="str">
        <f aca="true" t="shared" si="6" ref="B77:B89">IF(B21="NO"," ",C38)</f>
        <v> </v>
      </c>
      <c r="C77" s="26" t="str">
        <f>IF(AND(B21="yes",B13&gt;0),B9," ")</f>
        <v> </v>
      </c>
      <c r="D77" s="92" t="str">
        <f aca="true" t="shared" si="7" ref="D77:D89">IF(B77=" "," ",B77*C77)</f>
        <v> </v>
      </c>
    </row>
    <row r="78" spans="1:4" ht="12.75">
      <c r="A78" s="79" t="s">
        <v>217</v>
      </c>
      <c r="B78" s="46" t="str">
        <f t="shared" si="6"/>
        <v> </v>
      </c>
      <c r="C78" s="26" t="str">
        <f>IF(AND(B22="yes",B13&gt;0),B9," ")</f>
        <v> </v>
      </c>
      <c r="D78" s="92" t="str">
        <f t="shared" si="7"/>
        <v> </v>
      </c>
    </row>
    <row r="79" spans="1:4" ht="12.75">
      <c r="A79" s="79" t="s">
        <v>210</v>
      </c>
      <c r="B79" s="46" t="str">
        <f t="shared" si="6"/>
        <v> </v>
      </c>
      <c r="C79" s="26" t="str">
        <f>IF(AND(B23="yes",B13&gt;0),B9," ")</f>
        <v> </v>
      </c>
      <c r="D79" s="92" t="str">
        <f t="shared" si="7"/>
        <v> </v>
      </c>
    </row>
    <row r="80" spans="1:4" ht="12.75">
      <c r="A80" s="79" t="s">
        <v>218</v>
      </c>
      <c r="B80" s="46" t="str">
        <f t="shared" si="6"/>
        <v> </v>
      </c>
      <c r="C80" s="26" t="str">
        <f>IF(AND(B24="yes",B13&gt;0),B9," ")</f>
        <v> </v>
      </c>
      <c r="D80" s="92" t="str">
        <f t="shared" si="7"/>
        <v> </v>
      </c>
    </row>
    <row r="81" spans="1:4" ht="12.75">
      <c r="A81" s="79" t="s">
        <v>211</v>
      </c>
      <c r="B81" s="46" t="str">
        <f t="shared" si="6"/>
        <v> </v>
      </c>
      <c r="C81" s="26" t="str">
        <f>IF(AND(B25="yes",B13&gt;0),B9," ")</f>
        <v> </v>
      </c>
      <c r="D81" s="92" t="str">
        <f t="shared" si="7"/>
        <v> </v>
      </c>
    </row>
    <row r="82" spans="1:4" ht="12.75">
      <c r="A82" s="79" t="s">
        <v>219</v>
      </c>
      <c r="B82" s="46" t="str">
        <f t="shared" si="6"/>
        <v> </v>
      </c>
      <c r="C82" s="26" t="str">
        <f>IF(AND(B26="yes",B13&gt;0),B9," ")</f>
        <v> </v>
      </c>
      <c r="D82" s="92" t="str">
        <f t="shared" si="7"/>
        <v> </v>
      </c>
    </row>
    <row r="83" spans="1:4" ht="12.75">
      <c r="A83" s="79" t="s">
        <v>212</v>
      </c>
      <c r="B83" s="46" t="str">
        <f t="shared" si="6"/>
        <v> </v>
      </c>
      <c r="C83" s="26" t="str">
        <f>IF(AND(B27="yes",B13&gt;0),B9," ")</f>
        <v> </v>
      </c>
      <c r="D83" s="92" t="str">
        <f t="shared" si="7"/>
        <v> </v>
      </c>
    </row>
    <row r="84" spans="1:4" ht="12.75">
      <c r="A84" s="79" t="s">
        <v>220</v>
      </c>
      <c r="B84" s="46" t="str">
        <f t="shared" si="6"/>
        <v> </v>
      </c>
      <c r="C84" s="26" t="str">
        <f>IF(AND(B28="yes",B13&gt;0),B9," ")</f>
        <v> </v>
      </c>
      <c r="D84" s="92" t="str">
        <f t="shared" si="7"/>
        <v> </v>
      </c>
    </row>
    <row r="85" spans="1:4" ht="12.75">
      <c r="A85" s="79" t="s">
        <v>213</v>
      </c>
      <c r="B85" s="46">
        <f t="shared" si="6"/>
        <v>18.4</v>
      </c>
      <c r="C85" s="26">
        <f>IF(AND(B29="yes",B13&gt;0),B9," ")</f>
        <v>0.15</v>
      </c>
      <c r="D85" s="92">
        <f t="shared" si="7"/>
        <v>2.76</v>
      </c>
    </row>
    <row r="86" spans="1:4" ht="12.75">
      <c r="A86" s="79" t="s">
        <v>216</v>
      </c>
      <c r="B86" s="46" t="str">
        <f t="shared" si="6"/>
        <v> </v>
      </c>
      <c r="C86" s="26" t="str">
        <f>IF(AND(B30="yes",B13&gt;0),B9," ")</f>
        <v> </v>
      </c>
      <c r="D86" s="92" t="str">
        <f t="shared" si="7"/>
        <v> </v>
      </c>
    </row>
    <row r="87" spans="1:4" ht="12.75">
      <c r="A87" s="31" t="s">
        <v>41</v>
      </c>
      <c r="B87" s="46" t="str">
        <f t="shared" si="6"/>
        <v> </v>
      </c>
      <c r="C87" s="26" t="str">
        <f>IF(AND(B31="yes",B13&gt;0),B9," ")</f>
        <v> </v>
      </c>
      <c r="D87" s="92" t="str">
        <f t="shared" si="7"/>
        <v> </v>
      </c>
    </row>
    <row r="88" spans="1:4" ht="12.75">
      <c r="A88" s="31" t="s">
        <v>42</v>
      </c>
      <c r="B88" s="46" t="str">
        <f t="shared" si="6"/>
        <v> </v>
      </c>
      <c r="C88" s="26" t="str">
        <f>IF(AND(B32="yes",B13&gt;0),B9," ")</f>
        <v> </v>
      </c>
      <c r="D88" s="92" t="str">
        <f t="shared" si="7"/>
        <v> </v>
      </c>
    </row>
    <row r="89" spans="1:4" ht="12.75">
      <c r="A89" s="31" t="s">
        <v>43</v>
      </c>
      <c r="B89" s="46" t="str">
        <f t="shared" si="6"/>
        <v> </v>
      </c>
      <c r="C89" s="26" t="str">
        <f>IF(AND(B33="yes",B13&gt;0),B9," ")</f>
        <v> </v>
      </c>
      <c r="D89" s="92" t="str">
        <f t="shared" si="7"/>
        <v> </v>
      </c>
    </row>
    <row r="90" spans="1:4" ht="12.75">
      <c r="A90" s="25"/>
      <c r="B90" s="46"/>
      <c r="C90" s="26"/>
      <c r="D90" s="92"/>
    </row>
    <row r="91" spans="1:4" ht="12.75">
      <c r="A91" s="66" t="s">
        <v>105</v>
      </c>
      <c r="B91" s="46"/>
      <c r="C91" s="26"/>
      <c r="D91" s="92"/>
    </row>
    <row r="92" spans="1:4" ht="12.75">
      <c r="A92" s="30" t="s">
        <v>105</v>
      </c>
      <c r="B92" s="46" t="str">
        <f>IF(B54="NO"," ",C54)</f>
        <v> </v>
      </c>
      <c r="C92" s="26" t="str">
        <f>IF(B54="NO"," ",B9)</f>
        <v> </v>
      </c>
      <c r="D92" s="92" t="str">
        <f>IF(B54="NO"," ",B92*C92)</f>
        <v> </v>
      </c>
    </row>
    <row r="93" spans="1:4" ht="12.75">
      <c r="A93" s="25"/>
      <c r="B93" s="46"/>
      <c r="C93" s="26"/>
      <c r="D93" s="40"/>
    </row>
    <row r="94" spans="1:6" ht="12.75">
      <c r="A94" s="25"/>
      <c r="B94" s="46"/>
      <c r="C94" s="25"/>
      <c r="D94" s="96" t="s">
        <v>152</v>
      </c>
      <c r="E94" s="97">
        <f>SUM(D61:D92)</f>
        <v>26.772</v>
      </c>
      <c r="F94" s="63" t="s">
        <v>64</v>
      </c>
    </row>
    <row r="95" spans="1:6" ht="12.75">
      <c r="A95" s="25"/>
      <c r="B95" s="46"/>
      <c r="C95" s="25"/>
      <c r="D95" s="96"/>
      <c r="E95" s="97"/>
      <c r="F95" s="63"/>
    </row>
    <row r="96" spans="1:2" ht="15.75">
      <c r="A96" s="37" t="s">
        <v>46</v>
      </c>
      <c r="B96" s="81"/>
    </row>
    <row r="97" ht="12.75">
      <c r="B97" s="81"/>
    </row>
    <row r="98" spans="1:4" ht="25.5">
      <c r="A98" s="67"/>
      <c r="B98" s="71" t="s">
        <v>63</v>
      </c>
      <c r="C98" s="70" t="s">
        <v>107</v>
      </c>
      <c r="D98" s="70" t="s">
        <v>145</v>
      </c>
    </row>
    <row r="99" spans="1:4" ht="12.75">
      <c r="A99" s="67"/>
      <c r="B99" s="73" t="s">
        <v>106</v>
      </c>
      <c r="C99" s="68" t="s">
        <v>62</v>
      </c>
      <c r="D99" s="68" t="s">
        <v>89</v>
      </c>
    </row>
    <row r="100" spans="1:4" ht="12.75">
      <c r="A100" s="66" t="s">
        <v>103</v>
      </c>
      <c r="B100" s="27"/>
      <c r="C100" s="26"/>
      <c r="D100" s="28"/>
    </row>
    <row r="101" spans="1:4" ht="12.75">
      <c r="A101" s="79" t="s">
        <v>144</v>
      </c>
      <c r="B101" s="46" t="str">
        <f aca="true" t="shared" si="8" ref="B101:B113">IF(B21="NO"," ",C21)</f>
        <v> </v>
      </c>
      <c r="C101" s="26" t="str">
        <f>IF(B21="NO"," ",B10)</f>
        <v> </v>
      </c>
      <c r="D101" s="92" t="str">
        <f aca="true" t="shared" si="9" ref="D101:D113">IF(B21="NO"," ",B101*C101/2000)</f>
        <v> </v>
      </c>
    </row>
    <row r="102" spans="1:4" ht="12.75">
      <c r="A102" s="79" t="s">
        <v>217</v>
      </c>
      <c r="B102" s="46" t="str">
        <f t="shared" si="8"/>
        <v> </v>
      </c>
      <c r="C102" s="26" t="str">
        <f>IF(B22="NO"," ",B10)</f>
        <v> </v>
      </c>
      <c r="D102" s="92" t="str">
        <f t="shared" si="9"/>
        <v> </v>
      </c>
    </row>
    <row r="103" spans="1:4" ht="12.75">
      <c r="A103" s="79" t="s">
        <v>210</v>
      </c>
      <c r="B103" s="46" t="str">
        <f t="shared" si="8"/>
        <v> </v>
      </c>
      <c r="C103" s="26" t="str">
        <f>IF(B23="NO"," ",B10)</f>
        <v> </v>
      </c>
      <c r="D103" s="92" t="str">
        <f t="shared" si="9"/>
        <v> </v>
      </c>
    </row>
    <row r="104" spans="1:4" ht="12.75">
      <c r="A104" s="79" t="s">
        <v>218</v>
      </c>
      <c r="B104" s="46" t="str">
        <f t="shared" si="8"/>
        <v> </v>
      </c>
      <c r="C104" s="26" t="str">
        <f>IF(B24="NO"," ",B10)</f>
        <v> </v>
      </c>
      <c r="D104" s="92" t="str">
        <f t="shared" si="9"/>
        <v> </v>
      </c>
    </row>
    <row r="105" spans="1:4" ht="12.75">
      <c r="A105" s="79" t="s">
        <v>211</v>
      </c>
      <c r="B105" s="46" t="str">
        <f t="shared" si="8"/>
        <v> </v>
      </c>
      <c r="C105" s="26" t="str">
        <f>IF(B25="NO"," ",B10)</f>
        <v> </v>
      </c>
      <c r="D105" s="92" t="str">
        <f t="shared" si="9"/>
        <v> </v>
      </c>
    </row>
    <row r="106" spans="1:4" ht="12.75">
      <c r="A106" s="79" t="s">
        <v>219</v>
      </c>
      <c r="B106" s="46" t="str">
        <f t="shared" si="8"/>
        <v> </v>
      </c>
      <c r="C106" s="26" t="str">
        <f>IF(B26="NO"," ",B10)</f>
        <v> </v>
      </c>
      <c r="D106" s="92" t="str">
        <f t="shared" si="9"/>
        <v> </v>
      </c>
    </row>
    <row r="107" spans="1:4" ht="12.75">
      <c r="A107" s="79" t="s">
        <v>212</v>
      </c>
      <c r="B107" s="46" t="str">
        <f t="shared" si="8"/>
        <v> </v>
      </c>
      <c r="C107" s="26" t="str">
        <f>IF(B27="NO"," ",B10)</f>
        <v> </v>
      </c>
      <c r="D107" s="92" t="str">
        <f t="shared" si="9"/>
        <v> </v>
      </c>
    </row>
    <row r="108" spans="1:4" ht="12.75">
      <c r="A108" s="79" t="s">
        <v>220</v>
      </c>
      <c r="B108" s="46" t="str">
        <f t="shared" si="8"/>
        <v> </v>
      </c>
      <c r="C108" s="26" t="str">
        <f>IF(B28="NO"," ",B10)</f>
        <v> </v>
      </c>
      <c r="D108" s="92" t="str">
        <f t="shared" si="9"/>
        <v> </v>
      </c>
    </row>
    <row r="109" spans="1:4" ht="12.75">
      <c r="A109" s="79" t="s">
        <v>213</v>
      </c>
      <c r="B109" s="46">
        <f t="shared" si="8"/>
        <v>160.08</v>
      </c>
      <c r="C109" s="26">
        <f>IF(B29="NO"," ",B10)</f>
        <v>275</v>
      </c>
      <c r="D109" s="92">
        <f t="shared" si="9"/>
        <v>22.011</v>
      </c>
    </row>
    <row r="110" spans="1:4" ht="12.75">
      <c r="A110" s="79" t="s">
        <v>216</v>
      </c>
      <c r="B110" s="46" t="str">
        <f t="shared" si="8"/>
        <v> </v>
      </c>
      <c r="C110" s="26" t="str">
        <f>IF(B30="NO"," ",B10)</f>
        <v> </v>
      </c>
      <c r="D110" s="92" t="str">
        <f t="shared" si="9"/>
        <v> </v>
      </c>
    </row>
    <row r="111" spans="1:4" ht="12.75">
      <c r="A111" s="31" t="s">
        <v>41</v>
      </c>
      <c r="B111" s="46" t="str">
        <f t="shared" si="8"/>
        <v> </v>
      </c>
      <c r="C111" s="26" t="str">
        <f>IF(B31="NO"," ",B10)</f>
        <v> </v>
      </c>
      <c r="D111" s="92" t="str">
        <f t="shared" si="9"/>
        <v> </v>
      </c>
    </row>
    <row r="112" spans="1:4" ht="12.75">
      <c r="A112" s="31" t="s">
        <v>42</v>
      </c>
      <c r="B112" s="46" t="str">
        <f t="shared" si="8"/>
        <v> </v>
      </c>
      <c r="C112" s="26" t="str">
        <f>IF(B32="NO"," ",B10)</f>
        <v> </v>
      </c>
      <c r="D112" s="92" t="str">
        <f t="shared" si="9"/>
        <v> </v>
      </c>
    </row>
    <row r="113" spans="1:4" ht="12.75">
      <c r="A113" s="31" t="s">
        <v>43</v>
      </c>
      <c r="B113" s="46" t="str">
        <f t="shared" si="8"/>
        <v> </v>
      </c>
      <c r="C113" s="26" t="str">
        <f>IF(B33="NO"," ",B10)</f>
        <v> </v>
      </c>
      <c r="D113" s="92" t="str">
        <f t="shared" si="9"/>
        <v> </v>
      </c>
    </row>
    <row r="114" spans="1:4" ht="12.75">
      <c r="A114" s="25"/>
      <c r="B114" s="46"/>
      <c r="C114" s="26"/>
      <c r="D114" s="92"/>
    </row>
    <row r="115" spans="1:4" ht="12.75">
      <c r="A115" s="28"/>
      <c r="B115" s="46"/>
      <c r="C115" s="26"/>
      <c r="D115" s="92"/>
    </row>
    <row r="116" spans="1:4" ht="12.75">
      <c r="A116" s="66" t="s">
        <v>104</v>
      </c>
      <c r="B116" s="46"/>
      <c r="C116" s="26"/>
      <c r="D116" s="92"/>
    </row>
    <row r="117" spans="1:4" ht="12.75">
      <c r="A117" s="79" t="s">
        <v>144</v>
      </c>
      <c r="B117" s="46" t="str">
        <f>IF(B21="NO"," ",C38)</f>
        <v> </v>
      </c>
      <c r="C117" s="26" t="str">
        <f>IF(AND(B21="yes",B13&gt;0),B10," ")</f>
        <v> </v>
      </c>
      <c r="D117" s="92" t="str">
        <f>IF(B117=" "," ",B117*C117/2000)</f>
        <v> </v>
      </c>
    </row>
    <row r="118" spans="1:4" ht="12.75">
      <c r="A118" s="79" t="s">
        <v>217</v>
      </c>
      <c r="B118" s="46" t="str">
        <f aca="true" t="shared" si="10" ref="B118:B129">IF(B22="NO"," ",C39)</f>
        <v> </v>
      </c>
      <c r="C118" s="26" t="str">
        <f>IF(AND(B22="yes",B13&gt;0),B10," ")</f>
        <v> </v>
      </c>
      <c r="D118" s="92" t="str">
        <f aca="true" t="shared" si="11" ref="D118:D129">IF(B118=" "," ",B118*C118/2000)</f>
        <v> </v>
      </c>
    </row>
    <row r="119" spans="1:4" ht="12.75">
      <c r="A119" s="79" t="s">
        <v>210</v>
      </c>
      <c r="B119" s="46" t="str">
        <f t="shared" si="10"/>
        <v> </v>
      </c>
      <c r="C119" s="26" t="str">
        <f>IF(AND(B23="yes",B13&gt;0),B10," ")</f>
        <v> </v>
      </c>
      <c r="D119" s="92" t="str">
        <f t="shared" si="11"/>
        <v> </v>
      </c>
    </row>
    <row r="120" spans="1:4" ht="12.75">
      <c r="A120" s="79" t="s">
        <v>218</v>
      </c>
      <c r="B120" s="46" t="str">
        <f t="shared" si="10"/>
        <v> </v>
      </c>
      <c r="C120" s="26" t="str">
        <f>IF(AND(B24="yes",B13&gt;0),B10," ")</f>
        <v> </v>
      </c>
      <c r="D120" s="92" t="str">
        <f t="shared" si="11"/>
        <v> </v>
      </c>
    </row>
    <row r="121" spans="1:4" ht="12.75">
      <c r="A121" s="79" t="s">
        <v>211</v>
      </c>
      <c r="B121" s="46" t="str">
        <f t="shared" si="10"/>
        <v> </v>
      </c>
      <c r="C121" s="26" t="str">
        <f>IF(AND(B25="yes",B13&gt;0),B10," ")</f>
        <v> </v>
      </c>
      <c r="D121" s="92" t="str">
        <f t="shared" si="11"/>
        <v> </v>
      </c>
    </row>
    <row r="122" spans="1:4" ht="12.75">
      <c r="A122" s="79" t="s">
        <v>219</v>
      </c>
      <c r="B122" s="46" t="str">
        <f t="shared" si="10"/>
        <v> </v>
      </c>
      <c r="C122" s="26" t="str">
        <f>IF(AND(B26="yes",B13&gt;0),B10," ")</f>
        <v> </v>
      </c>
      <c r="D122" s="92" t="str">
        <f t="shared" si="11"/>
        <v> </v>
      </c>
    </row>
    <row r="123" spans="1:4" ht="12.75">
      <c r="A123" s="79" t="s">
        <v>212</v>
      </c>
      <c r="B123" s="46" t="str">
        <f t="shared" si="10"/>
        <v> </v>
      </c>
      <c r="C123" s="26" t="str">
        <f>IF(AND(B27="yes",B13&gt;0),B10," ")</f>
        <v> </v>
      </c>
      <c r="D123" s="92" t="str">
        <f t="shared" si="11"/>
        <v> </v>
      </c>
    </row>
    <row r="124" spans="1:4" ht="12.75">
      <c r="A124" s="79" t="s">
        <v>220</v>
      </c>
      <c r="B124" s="46" t="str">
        <f t="shared" si="10"/>
        <v> </v>
      </c>
      <c r="C124" s="26" t="str">
        <f>IF(AND(B28="yes",B13&gt;0),B10," ")</f>
        <v> </v>
      </c>
      <c r="D124" s="92" t="str">
        <f t="shared" si="11"/>
        <v> </v>
      </c>
    </row>
    <row r="125" spans="1:4" ht="12.75">
      <c r="A125" s="79" t="s">
        <v>213</v>
      </c>
      <c r="B125" s="46">
        <f t="shared" si="10"/>
        <v>18.4</v>
      </c>
      <c r="C125" s="26">
        <f>IF(AND(B29="yes",B13&gt;0),B10," ")</f>
        <v>275</v>
      </c>
      <c r="D125" s="92">
        <f t="shared" si="11"/>
        <v>2.53</v>
      </c>
    </row>
    <row r="126" spans="1:4" ht="12.75">
      <c r="A126" s="79" t="s">
        <v>216</v>
      </c>
      <c r="B126" s="46" t="str">
        <f t="shared" si="10"/>
        <v> </v>
      </c>
      <c r="C126" s="26" t="str">
        <f>IF(AND(B30="yes",B13&gt;0),B10," ")</f>
        <v> </v>
      </c>
      <c r="D126" s="92" t="str">
        <f t="shared" si="11"/>
        <v> </v>
      </c>
    </row>
    <row r="127" spans="1:4" ht="12.75">
      <c r="A127" s="31" t="s">
        <v>41</v>
      </c>
      <c r="B127" s="46" t="str">
        <f t="shared" si="10"/>
        <v> </v>
      </c>
      <c r="C127" s="26" t="str">
        <f>IF(AND(B31="yes",B13&gt;0),B10," ")</f>
        <v> </v>
      </c>
      <c r="D127" s="92" t="str">
        <f t="shared" si="11"/>
        <v> </v>
      </c>
    </row>
    <row r="128" spans="1:4" ht="12.75">
      <c r="A128" s="31" t="s">
        <v>42</v>
      </c>
      <c r="B128" s="46" t="str">
        <f t="shared" si="10"/>
        <v> </v>
      </c>
      <c r="C128" s="26" t="str">
        <f>IF(AND(B32="yes",B13&gt;0),B10," ")</f>
        <v> </v>
      </c>
      <c r="D128" s="92" t="str">
        <f t="shared" si="11"/>
        <v> </v>
      </c>
    </row>
    <row r="129" spans="1:4" ht="12.75">
      <c r="A129" s="31" t="s">
        <v>43</v>
      </c>
      <c r="B129" s="46" t="str">
        <f t="shared" si="10"/>
        <v> </v>
      </c>
      <c r="C129" s="26" t="str">
        <f>IF(AND(B33="yes",B13&gt;0),B10," ")</f>
        <v> </v>
      </c>
      <c r="D129" s="92" t="str">
        <f t="shared" si="11"/>
        <v> </v>
      </c>
    </row>
    <row r="130" spans="1:4" ht="12.75">
      <c r="A130" s="25"/>
      <c r="B130" s="46"/>
      <c r="C130" s="26"/>
      <c r="D130" s="92"/>
    </row>
    <row r="131" spans="1:4" ht="12.75">
      <c r="A131" s="66" t="s">
        <v>105</v>
      </c>
      <c r="B131" s="46"/>
      <c r="C131" s="26"/>
      <c r="D131" s="92"/>
    </row>
    <row r="132" spans="1:4" ht="12.75">
      <c r="A132" s="30" t="s">
        <v>105</v>
      </c>
      <c r="B132" s="46" t="str">
        <f>IF(B54="NO"," ",C54)</f>
        <v> </v>
      </c>
      <c r="C132" s="26" t="str">
        <f>IF(B54="NO"," ",B10)</f>
        <v> </v>
      </c>
      <c r="D132" s="92" t="str">
        <f>IF(B54="NO"," ",B132*C132/2000)</f>
        <v> </v>
      </c>
    </row>
    <row r="133" spans="1:4" ht="12.75">
      <c r="A133" s="25"/>
      <c r="B133" s="46"/>
      <c r="C133" s="26"/>
      <c r="D133" s="40"/>
    </row>
    <row r="134" spans="1:6" ht="12.75">
      <c r="A134" s="25"/>
      <c r="B134" s="46"/>
      <c r="C134" s="25"/>
      <c r="D134" s="96" t="s">
        <v>152</v>
      </c>
      <c r="E134" s="97">
        <f>SUM(D101:D132)</f>
        <v>24.541</v>
      </c>
      <c r="F134" s="63" t="s">
        <v>153</v>
      </c>
    </row>
    <row r="135" spans="1:3" ht="14.25">
      <c r="A135" s="29"/>
      <c r="B135" s="89"/>
      <c r="C135" s="25"/>
    </row>
    <row r="136" ht="12.75">
      <c r="B136" s="90"/>
    </row>
    <row r="137" ht="12.75">
      <c r="B137" s="90"/>
    </row>
    <row r="138" ht="12.75">
      <c r="B138" s="90"/>
    </row>
    <row r="139" ht="12.75">
      <c r="B139" s="90"/>
    </row>
    <row r="140" ht="12.75">
      <c r="B140" s="90"/>
    </row>
  </sheetData>
  <mergeCells count="5"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landscape" scale="27" r:id="rId1"/>
  <headerFooter alignWithMargins="0">
    <oddFooter>&amp;LOK INDUSTRIAL COMPOSITES EMISSION CALCULATIONS.XLS&amp;RPRINTED ON RECYCLED PAPER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workbookViewId="0" topLeftCell="A1">
      <selection activeCell="A1" sqref="A1:G1"/>
    </sheetView>
  </sheetViews>
  <sheetFormatPr defaultColWidth="9.140625" defaultRowHeight="12.75"/>
  <cols>
    <col min="1" max="1" width="44.57421875" style="0" customWidth="1"/>
    <col min="2" max="3" width="15.7109375" style="0" customWidth="1"/>
    <col min="4" max="4" width="22.00390625" style="0" customWidth="1"/>
    <col min="5" max="5" width="20.00390625" style="0" customWidth="1"/>
  </cols>
  <sheetData>
    <row r="1" spans="1:7" ht="18">
      <c r="A1" s="226" t="s">
        <v>2</v>
      </c>
      <c r="B1" s="226"/>
      <c r="C1" s="226"/>
      <c r="D1" s="226"/>
      <c r="E1" s="226"/>
      <c r="F1" s="226"/>
      <c r="G1" s="226"/>
    </row>
    <row r="2" spans="1:7" ht="18">
      <c r="A2" s="225" t="s">
        <v>206</v>
      </c>
      <c r="B2" s="225"/>
      <c r="C2" s="225"/>
      <c r="D2" s="225"/>
      <c r="E2" s="225"/>
      <c r="F2" s="225"/>
      <c r="G2" s="225"/>
    </row>
    <row r="3" spans="1:7" ht="18">
      <c r="A3" s="225" t="s">
        <v>205</v>
      </c>
      <c r="B3" s="225"/>
      <c r="C3" s="225"/>
      <c r="D3" s="225"/>
      <c r="E3" s="225"/>
      <c r="F3" s="225"/>
      <c r="G3" s="225"/>
    </row>
    <row r="4" spans="1:7" ht="18">
      <c r="A4" s="227" t="s">
        <v>37</v>
      </c>
      <c r="B4" s="227"/>
      <c r="C4" s="227"/>
      <c r="D4" s="227"/>
      <c r="E4" s="227"/>
      <c r="F4" s="227"/>
      <c r="G4" s="227"/>
    </row>
    <row r="5" spans="1:7" ht="18">
      <c r="A5" s="225" t="s">
        <v>223</v>
      </c>
      <c r="B5" s="225"/>
      <c r="C5" s="225"/>
      <c r="D5" s="225"/>
      <c r="E5" s="225"/>
      <c r="F5" s="225"/>
      <c r="G5" s="225"/>
    </row>
    <row r="6" spans="1:7" ht="18">
      <c r="A6" s="38"/>
      <c r="B6" s="38"/>
      <c r="C6" s="38"/>
      <c r="D6" s="38"/>
      <c r="E6" s="38"/>
      <c r="F6" s="38"/>
      <c r="G6" s="38"/>
    </row>
    <row r="8" spans="1:4" ht="12.75">
      <c r="A8" s="24" t="s">
        <v>29</v>
      </c>
      <c r="B8" s="24" t="s">
        <v>30</v>
      </c>
      <c r="C8" s="24" t="s">
        <v>31</v>
      </c>
      <c r="D8" s="24" t="s">
        <v>32</v>
      </c>
    </row>
    <row r="9" spans="1:4" ht="12.75">
      <c r="A9" s="28" t="s">
        <v>245</v>
      </c>
      <c r="B9" s="146">
        <v>0.08</v>
      </c>
      <c r="C9" s="30" t="s">
        <v>39</v>
      </c>
      <c r="D9" s="28" t="s">
        <v>214</v>
      </c>
    </row>
    <row r="10" spans="1:4" ht="12.75">
      <c r="A10" s="28" t="s">
        <v>49</v>
      </c>
      <c r="B10" s="147">
        <v>45</v>
      </c>
      <c r="C10" s="30" t="s">
        <v>40</v>
      </c>
      <c r="D10" s="28" t="s">
        <v>214</v>
      </c>
    </row>
    <row r="11" spans="1:4" ht="12.75">
      <c r="A11" s="28" t="s">
        <v>50</v>
      </c>
      <c r="B11" s="148">
        <v>39</v>
      </c>
      <c r="C11" s="30" t="s">
        <v>188</v>
      </c>
      <c r="D11" s="28" t="s">
        <v>38</v>
      </c>
    </row>
    <row r="12" spans="1:4" ht="12.75">
      <c r="A12" s="28" t="s">
        <v>246</v>
      </c>
      <c r="B12" s="148">
        <v>6</v>
      </c>
      <c r="C12" s="30" t="s">
        <v>188</v>
      </c>
      <c r="D12" s="28" t="s">
        <v>38</v>
      </c>
    </row>
    <row r="13" spans="1:4" ht="12.75">
      <c r="A13" s="28" t="s">
        <v>247</v>
      </c>
      <c r="B13" s="148">
        <v>0</v>
      </c>
      <c r="C13" s="30" t="s">
        <v>188</v>
      </c>
      <c r="D13" s="28" t="s">
        <v>38</v>
      </c>
    </row>
    <row r="14" spans="1:4" ht="12.75">
      <c r="A14" s="28" t="s">
        <v>221</v>
      </c>
      <c r="B14" s="148">
        <v>0</v>
      </c>
      <c r="C14" s="30" t="s">
        <v>215</v>
      </c>
      <c r="D14" s="28" t="s">
        <v>214</v>
      </c>
    </row>
    <row r="15" spans="1:4" ht="12.75">
      <c r="A15" s="28"/>
      <c r="B15" s="33"/>
      <c r="C15" s="30"/>
      <c r="D15" s="28"/>
    </row>
    <row r="16" spans="1:4" ht="12.75">
      <c r="A16" s="28"/>
      <c r="B16" s="32"/>
      <c r="C16" s="26"/>
      <c r="D16" s="28"/>
    </row>
    <row r="17" spans="1:4" ht="12.75">
      <c r="A17" s="65" t="s">
        <v>226</v>
      </c>
      <c r="B17" s="34"/>
      <c r="C17" s="26"/>
      <c r="D17" s="28" t="s">
        <v>214</v>
      </c>
    </row>
    <row r="18" spans="1:4" ht="12.75">
      <c r="A18" s="65"/>
      <c r="B18" s="34"/>
      <c r="C18" s="66"/>
      <c r="D18" s="28"/>
    </row>
    <row r="19" spans="1:5" ht="12.75">
      <c r="A19" s="66" t="s">
        <v>147</v>
      </c>
      <c r="B19" s="64" t="s">
        <v>102</v>
      </c>
      <c r="C19" s="66" t="s">
        <v>63</v>
      </c>
      <c r="D19" s="24" t="s">
        <v>31</v>
      </c>
      <c r="E19" s="24" t="s">
        <v>32</v>
      </c>
    </row>
    <row r="20" spans="1:5" ht="12.75">
      <c r="A20" s="79"/>
      <c r="B20" s="64"/>
      <c r="C20" s="66"/>
      <c r="D20" s="24"/>
      <c r="E20" s="24"/>
    </row>
    <row r="21" spans="1:5" ht="12.75">
      <c r="A21" s="79" t="s">
        <v>143</v>
      </c>
      <c r="B21" s="87" t="s">
        <v>44</v>
      </c>
      <c r="C21" s="46">
        <f>IF(B21="NO"," ",IF(B11&lt;33,(0.126*B11/100*2000),((0.286*B11/100)-0.0529)*2000))</f>
        <v>117.28</v>
      </c>
      <c r="D21" s="28" t="str">
        <f>IF(B21="NO"," ","lb/ton resin processed")</f>
        <v>lb/ton resin processed</v>
      </c>
      <c r="E21" s="28" t="str">
        <f>IF(B21="NO"," ","40 CFR 63, Subaprt WWWW, Table 1")</f>
        <v>40 CFR 63, Subaprt WWWW, Table 1</v>
      </c>
    </row>
    <row r="22" spans="1:5" ht="12.75">
      <c r="A22" s="79" t="s">
        <v>217</v>
      </c>
      <c r="B22" s="87" t="s">
        <v>24</v>
      </c>
      <c r="C22" s="46" t="str">
        <f>IF(B22="NO"," ",IF(B11&lt;33,(0.126*B11/100*2000)*(1-(0.5*B14)),((0.286*B11/100)-0.0529)*2000)*(1-(0.5*B14)))</f>
        <v> </v>
      </c>
      <c r="D22" s="28" t="str">
        <f aca="true" t="shared" si="0" ref="D22:D30">IF(B22="NO"," ","lb/ton resin processed")</f>
        <v> </v>
      </c>
      <c r="E22" s="28" t="str">
        <f>IF(B22="NO"," ","40 CFR 63, Subaprt WWWW, Table 1")</f>
        <v> </v>
      </c>
    </row>
    <row r="23" spans="1:5" ht="12.75">
      <c r="A23" s="79" t="s">
        <v>210</v>
      </c>
      <c r="B23" s="87" t="s">
        <v>24</v>
      </c>
      <c r="C23" s="46" t="str">
        <f>IF(B23="NO"," ",IF(B11&lt;33,(0.169*B11/100*2000),((0.714*B11/100)-0.18)*2000))</f>
        <v> </v>
      </c>
      <c r="D23" s="28" t="str">
        <f t="shared" si="0"/>
        <v> </v>
      </c>
      <c r="E23" s="28" t="str">
        <f>IF(B23="NO"," ","40 CFR 63, Subaprt WWWW, Table 1")</f>
        <v> </v>
      </c>
    </row>
    <row r="24" spans="1:5" ht="12.75">
      <c r="A24" s="79" t="s">
        <v>218</v>
      </c>
      <c r="B24" s="87" t="s">
        <v>24</v>
      </c>
      <c r="C24" s="46" t="str">
        <f>IF(B24="NO"," ",IF(B11&lt;33,(0.169*B11/100*2000)*(1-(0.45*B14)),((0.714*B11/100)-0.18)*2000)*(1-(0.45*B14)))</f>
        <v> </v>
      </c>
      <c r="D24" s="28" t="str">
        <f t="shared" si="0"/>
        <v> </v>
      </c>
      <c r="E24" s="28" t="str">
        <f>IF(B24="NO"," ","40 CFR 63, Subaprt WWWW, Table 1")</f>
        <v> </v>
      </c>
    </row>
    <row r="25" spans="1:5" ht="12.75">
      <c r="A25" s="79" t="s">
        <v>211</v>
      </c>
      <c r="B25" s="87" t="s">
        <v>24</v>
      </c>
      <c r="C25" s="46" t="str">
        <f>IF(B25="NO"," ",IF(B11&lt;33,(0.13*B11/100*2000),((0.714*B11/100)-0.18)*2000*0.77))</f>
        <v> </v>
      </c>
      <c r="D25" s="28" t="str">
        <f t="shared" si="0"/>
        <v> </v>
      </c>
      <c r="E25" s="28" t="str">
        <f>IF(B25="NO"," ","Unified Emission Factors - July 23, 2001")</f>
        <v> </v>
      </c>
    </row>
    <row r="26" spans="1:5" ht="12.75">
      <c r="A26" s="79" t="s">
        <v>219</v>
      </c>
      <c r="B26" s="87" t="s">
        <v>24</v>
      </c>
      <c r="C26" s="46" t="str">
        <f>IF(B26="NO"," ",IF(B11&lt;33,(0.13*B11/100*2000)*(1-(0.45*B14)),((0.714*B11/100)-0.18)*2000*0.77*(1-(0.45*B14))))</f>
        <v> </v>
      </c>
      <c r="D26" s="28" t="str">
        <f t="shared" si="0"/>
        <v> </v>
      </c>
      <c r="E26" s="28" t="str">
        <f aca="true" t="shared" si="1" ref="E26:E31">IF(B26="NO"," ","40 CFR 63, Subaprt WWWW, Table 1")</f>
        <v> </v>
      </c>
    </row>
    <row r="27" spans="1:5" ht="12.75">
      <c r="A27" s="79" t="s">
        <v>212</v>
      </c>
      <c r="B27" s="87" t="s">
        <v>24</v>
      </c>
      <c r="C27" s="46" t="str">
        <f>IF(B27="NO"," ",IF(B11&lt;33,(0.107*B11/100*2000),((0.157*B11/100)-0.0165)*2000))</f>
        <v> </v>
      </c>
      <c r="D27" s="28" t="str">
        <f t="shared" si="0"/>
        <v> </v>
      </c>
      <c r="E27" s="28" t="str">
        <f t="shared" si="1"/>
        <v> </v>
      </c>
    </row>
    <row r="28" spans="1:5" ht="12.75">
      <c r="A28" s="79" t="s">
        <v>220</v>
      </c>
      <c r="B28" s="87" t="s">
        <v>24</v>
      </c>
      <c r="C28" s="46" t="str">
        <f>IF(B28="NO"," ",IF(B11&lt;33,(0.107*B11/100*2000)*(1-(0.45*B14)),((0.157*B11/100)-0.0165)*2000*(1-(0.45*B14))))</f>
        <v> </v>
      </c>
      <c r="D28" s="28" t="str">
        <f t="shared" si="0"/>
        <v> </v>
      </c>
      <c r="E28" s="28" t="str">
        <f t="shared" si="1"/>
        <v> </v>
      </c>
    </row>
    <row r="29" spans="1:5" ht="12.75">
      <c r="A29" s="79" t="s">
        <v>213</v>
      </c>
      <c r="B29" s="87" t="s">
        <v>24</v>
      </c>
      <c r="C29" s="46" t="str">
        <f>IF(B29="NO"," ",IF(B11&lt;33,(0.184*B11/100*2000),((0.2746*B11/100)-0.0298)*2000))</f>
        <v> </v>
      </c>
      <c r="D29" s="28" t="str">
        <f t="shared" si="0"/>
        <v> </v>
      </c>
      <c r="E29" s="28" t="str">
        <f t="shared" si="1"/>
        <v> </v>
      </c>
    </row>
    <row r="30" spans="1:5" ht="12.75">
      <c r="A30" s="79" t="s">
        <v>216</v>
      </c>
      <c r="B30" s="87" t="s">
        <v>24</v>
      </c>
      <c r="C30" s="46" t="str">
        <f>IF(B30="NO"," ",IF(B11&lt;33,(0.12*B11/100*2000),((0.2746*B11/100)-0.0298)*2000*0.65))</f>
        <v> </v>
      </c>
      <c r="D30" s="28" t="str">
        <f t="shared" si="0"/>
        <v> </v>
      </c>
      <c r="E30" s="28" t="str">
        <f t="shared" si="1"/>
        <v> </v>
      </c>
    </row>
    <row r="31" spans="1:5" ht="12.75">
      <c r="A31" s="31" t="s">
        <v>41</v>
      </c>
      <c r="B31" s="87" t="s">
        <v>24</v>
      </c>
      <c r="C31" s="46" t="str">
        <f>IF(B31="NO"," ",IF(B11&lt;19,(0.445*B11/100*2000),((1.03646*B11/100)-0.195)*2000))</f>
        <v> </v>
      </c>
      <c r="D31" s="28" t="str">
        <f>IF(B31="NO"," ","lb/ton gelcoat processed")</f>
        <v> </v>
      </c>
      <c r="E31" s="28" t="str">
        <f t="shared" si="1"/>
        <v> </v>
      </c>
    </row>
    <row r="32" spans="1:5" ht="12.75">
      <c r="A32" s="31" t="s">
        <v>42</v>
      </c>
      <c r="B32" s="87" t="s">
        <v>24</v>
      </c>
      <c r="C32" s="46" t="str">
        <f>IF(B32="NO"," ",IF(B11&lt;33,(0.325*B11/100*2000),(0.73*((1.03646*B11/100)-0.195))*2000))</f>
        <v> </v>
      </c>
      <c r="D32" s="28" t="str">
        <f>IF(B32="NO"," ","lb/ton gelcoat processed")</f>
        <v> </v>
      </c>
      <c r="E32" s="28" t="str">
        <f>IF(B32="NO"," ","Unified Emission Factors - July 23, 2001")</f>
        <v> </v>
      </c>
    </row>
    <row r="33" spans="1:5" ht="12.75">
      <c r="A33" s="31" t="s">
        <v>43</v>
      </c>
      <c r="B33" s="88" t="s">
        <v>24</v>
      </c>
      <c r="C33" s="46" t="str">
        <f>IF(B33="NO"," ",IF(B11&lt;19,(0.185*B11/100*2000),((0.4506*B11/100)-0.0505)*2000))</f>
        <v> </v>
      </c>
      <c r="D33" s="28" t="str">
        <f>IF(B33="NO"," ","lb/ton gelcoat processed")</f>
        <v> </v>
      </c>
      <c r="E33" s="28" t="str">
        <f>IF(B33="NO"," ","Unified Emission Factors - July 23, 2001")</f>
        <v> </v>
      </c>
    </row>
    <row r="34" spans="1:4" ht="12.75">
      <c r="A34" s="28"/>
      <c r="B34" s="27"/>
      <c r="C34" s="26"/>
      <c r="D34" s="28"/>
    </row>
    <row r="35" ht="12.75">
      <c r="A35" s="93" t="s">
        <v>149</v>
      </c>
    </row>
    <row r="36" ht="12.75">
      <c r="A36" s="91" t="s">
        <v>150</v>
      </c>
    </row>
    <row r="37" ht="12.75">
      <c r="A37" s="91"/>
    </row>
    <row r="38" spans="1:5" ht="12.75">
      <c r="A38" s="28" t="s">
        <v>143</v>
      </c>
      <c r="B38" s="91" t="str">
        <f>IF(AND(B21="YES",B13&gt;0),"YES"," ")</f>
        <v> </v>
      </c>
      <c r="C38" s="46" t="str">
        <f>IF(B38=" "," ",IF(B13&lt;33,(0.126*B13/100*2000),((0.286*B13/100)-0.0529)*2000))</f>
        <v> </v>
      </c>
      <c r="D38" s="28" t="str">
        <f>IF(B38=" "," ","lb/ton resin processed")</f>
        <v> </v>
      </c>
      <c r="E38" s="28" t="str">
        <f>IF(B38=" "," ","40 CFR 63, Subaprt WWWW, Table 1")</f>
        <v> </v>
      </c>
    </row>
    <row r="39" spans="1:5" ht="12.75">
      <c r="A39" s="79" t="s">
        <v>217</v>
      </c>
      <c r="B39" s="91" t="str">
        <f>IF(AND(B22="yes",B13&gt;0),"YES"," ")</f>
        <v> </v>
      </c>
      <c r="C39" s="46" t="str">
        <f>IF(B39=" "," ",IF(B13&lt;33,(0.126*B13/100*2000)*(1-(0.5*B14)),((0.286*B13/100)-0.0529)*2000)*(1-(0.5*B14)))</f>
        <v> </v>
      </c>
      <c r="D39" s="28" t="str">
        <f aca="true" t="shared" si="2" ref="D39:D47">IF(B39=" "," ","lb/ton resin processed")</f>
        <v> </v>
      </c>
      <c r="E39" s="28" t="str">
        <f>IF(B39=" "," ","40 CFR 63, Subaprt WWWW, Table 1")</f>
        <v> </v>
      </c>
    </row>
    <row r="40" spans="1:5" ht="12.75">
      <c r="A40" s="79" t="s">
        <v>210</v>
      </c>
      <c r="B40" s="91" t="str">
        <f>IF(AND(B23="yes",B13&gt;0),"YES"," ")</f>
        <v> </v>
      </c>
      <c r="C40" s="46" t="str">
        <f>IF(B40=" "," ",IF(B13&lt;33,(0.169*B13/100*2000),((0.714*B13/100)-0.18)*2000))</f>
        <v> </v>
      </c>
      <c r="D40" s="28" t="str">
        <f t="shared" si="2"/>
        <v> </v>
      </c>
      <c r="E40" s="28" t="str">
        <f>IF(B40=" "," ","40 CFR 63, Subaprt WWWW, Table 1")</f>
        <v> </v>
      </c>
    </row>
    <row r="41" spans="1:5" ht="12.75">
      <c r="A41" s="79" t="s">
        <v>218</v>
      </c>
      <c r="B41" s="91" t="str">
        <f>IF(AND(B24="yes",B13&gt;0),"YES"," ")</f>
        <v> </v>
      </c>
      <c r="C41" s="46" t="str">
        <f>IF(B41=" "," ",IF(B13&lt;33,(0.169*B13/100*2000)*(1-(0.45*B14)),((0.714*B13/100)-0.18)*2000)*(1-(0.45*B14)))</f>
        <v> </v>
      </c>
      <c r="D41" s="28" t="str">
        <f t="shared" si="2"/>
        <v> </v>
      </c>
      <c r="E41" s="28" t="str">
        <f>IF(B41=" "," ","40 CFR 63, Subaprt WWWW, Table 1")</f>
        <v> </v>
      </c>
    </row>
    <row r="42" spans="1:5" ht="12.75">
      <c r="A42" s="79" t="s">
        <v>211</v>
      </c>
      <c r="B42" s="91" t="str">
        <f>IF(AND(B25="yes",B13&gt;0),"YES"," ")</f>
        <v> </v>
      </c>
      <c r="C42" s="46" t="str">
        <f>IF(B42=" "," ",IF(B13&lt;33,(0.13*B13/100*2000),((0.714*B13/100)-0.18)*2000*0.77))</f>
        <v> </v>
      </c>
      <c r="D42" s="28" t="str">
        <f t="shared" si="2"/>
        <v> </v>
      </c>
      <c r="E42" s="28" t="str">
        <f>IF(B42=" "," ","Unified Emission Factors - July 23, 2001")</f>
        <v> </v>
      </c>
    </row>
    <row r="43" spans="1:5" ht="12.75">
      <c r="A43" s="79" t="s">
        <v>219</v>
      </c>
      <c r="B43" s="91" t="str">
        <f>IF(AND(B26="yes",B13&gt;0),"YES"," ")</f>
        <v> </v>
      </c>
      <c r="C43" s="46" t="str">
        <f>IF(B43=" "," ",IF(B13&lt;33,(0.13*B13/100*2000)*(1-(0.45*B14)),((0.714*B13/100)-0.18)*2000*0.77*(1-(0.45*B14))))</f>
        <v> </v>
      </c>
      <c r="D43" s="28" t="str">
        <f t="shared" si="2"/>
        <v> </v>
      </c>
      <c r="E43" s="28" t="str">
        <f aca="true" t="shared" si="3" ref="E43:E48">IF(B43=" "," ","40 CFR 63, Subaprt WWWW, Table 1")</f>
        <v> </v>
      </c>
    </row>
    <row r="44" spans="1:5" ht="12.75">
      <c r="A44" s="79" t="s">
        <v>212</v>
      </c>
      <c r="B44" s="91" t="str">
        <f>IF(AND(B27="yes",B13&gt;0),"YES"," ")</f>
        <v> </v>
      </c>
      <c r="C44" s="46" t="str">
        <f>IF(B44=" "," ",IF(B13&lt;33,(0.107*B13/100*2000),((0.157*B13/100)-0.0165)*2000))</f>
        <v> </v>
      </c>
      <c r="D44" s="28" t="str">
        <f t="shared" si="2"/>
        <v> </v>
      </c>
      <c r="E44" s="28" t="str">
        <f t="shared" si="3"/>
        <v> </v>
      </c>
    </row>
    <row r="45" spans="1:5" ht="12.75">
      <c r="A45" s="79" t="s">
        <v>220</v>
      </c>
      <c r="B45" s="91" t="str">
        <f>IF(AND(B28="yes",B13&gt;0),"YES"," ")</f>
        <v> </v>
      </c>
      <c r="C45" s="46" t="str">
        <f>IF(B45=" "," ",IF(B13&lt;33,(0.107*B13/100*2000)*(1-(0.45*B14)),((0.157*B13/100)-0.0165)*2000*(1-(0.45*B14))))</f>
        <v> </v>
      </c>
      <c r="D45" s="28" t="str">
        <f t="shared" si="2"/>
        <v> </v>
      </c>
      <c r="E45" s="28" t="str">
        <f t="shared" si="3"/>
        <v> </v>
      </c>
    </row>
    <row r="46" spans="1:5" ht="12.75">
      <c r="A46" s="79" t="s">
        <v>213</v>
      </c>
      <c r="B46" s="91" t="str">
        <f>IF(AND(B29="YES",B13&gt;0),"YES"," ")</f>
        <v> </v>
      </c>
      <c r="C46" s="46" t="str">
        <f>IF(B46=" "," ",IF(B13&lt;33,(0.184*B13/100*2000),((0.2746*B13/100)-0.0298)*2000))</f>
        <v> </v>
      </c>
      <c r="D46" s="28" t="str">
        <f t="shared" si="2"/>
        <v> </v>
      </c>
      <c r="E46" s="28" t="str">
        <f t="shared" si="3"/>
        <v> </v>
      </c>
    </row>
    <row r="47" spans="1:5" ht="12.75">
      <c r="A47" s="79" t="s">
        <v>216</v>
      </c>
      <c r="B47" s="91" t="str">
        <f>IF(AND(B30="yes",B13&gt;0),"YES"," ")</f>
        <v> </v>
      </c>
      <c r="C47" s="46" t="str">
        <f>IF(B47=" "," ",IF(B13&lt;33,(0.12*B13/100*2000),((0.2746*B13/100)-0.0298)*2000*0.65))</f>
        <v> </v>
      </c>
      <c r="D47" s="28" t="str">
        <f t="shared" si="2"/>
        <v> </v>
      </c>
      <c r="E47" s="28" t="str">
        <f t="shared" si="3"/>
        <v> </v>
      </c>
    </row>
    <row r="48" spans="1:5" ht="12.75">
      <c r="A48" s="31" t="s">
        <v>41</v>
      </c>
      <c r="B48" s="91" t="str">
        <f>IF(AND(B31="yes",B13&gt;0),"YES"," ")</f>
        <v> </v>
      </c>
      <c r="C48" s="46" t="str">
        <f>IF(B48=" "," ",IF(B13&lt;19,(0.445*B13/100*2000),((1.03646*B13/100)-0.195)*2000))</f>
        <v> </v>
      </c>
      <c r="D48" s="28" t="str">
        <f>IF(B48=" "," ","lb/ton gelcoat processed")</f>
        <v> </v>
      </c>
      <c r="E48" s="28" t="str">
        <f t="shared" si="3"/>
        <v> </v>
      </c>
    </row>
    <row r="49" spans="1:5" ht="12.75">
      <c r="A49" s="31" t="s">
        <v>42</v>
      </c>
      <c r="B49" s="91" t="str">
        <f>IF(AND(B32="yes",B13&gt;0),"YES"," ")</f>
        <v> </v>
      </c>
      <c r="C49" s="46" t="str">
        <f>IF(B49=" "," ",IF(B13&lt;33,(0.325*B13/100*2000),(0.73*((1.03646*B13/100)-0.195))*2000))</f>
        <v> </v>
      </c>
      <c r="D49" s="28" t="str">
        <f>IF(B49=" "," ","lb/ton gelcoat processed")</f>
        <v> </v>
      </c>
      <c r="E49" s="28" t="str">
        <f>IF(B49=" "," ","Unified Emission Factors - July 23, 2001")</f>
        <v> </v>
      </c>
    </row>
    <row r="50" spans="1:5" ht="12.75">
      <c r="A50" s="31" t="s">
        <v>43</v>
      </c>
      <c r="B50" s="91" t="str">
        <f>IF(AND(B33="yes",B13&gt;0),"YES"," ")</f>
        <v> </v>
      </c>
      <c r="C50" s="46" t="str">
        <f>IF(B50=" "," ",IF(B13&lt;19,(0.185*B13/100*2000),((0.4506*B13/100)-0.0505)*2000))</f>
        <v> </v>
      </c>
      <c r="D50" s="28" t="str">
        <f>IF(B50=" "," ","lb/ton gelcoat processed")</f>
        <v> </v>
      </c>
      <c r="E50" s="28" t="str">
        <f>IF(B50=" "," ","Unified Emission Factors - July 23, 2001")</f>
        <v> </v>
      </c>
    </row>
    <row r="51" spans="1:5" ht="12.75">
      <c r="A51" s="30"/>
      <c r="B51" s="91"/>
      <c r="C51" s="26"/>
      <c r="D51" s="28"/>
      <c r="E51" s="28"/>
    </row>
    <row r="52" spans="1:5" ht="12.75">
      <c r="A52" s="66" t="s">
        <v>148</v>
      </c>
      <c r="B52" s="91"/>
      <c r="C52" s="26"/>
      <c r="D52" s="28"/>
      <c r="E52" s="28"/>
    </row>
    <row r="53" spans="1:5" ht="12.75">
      <c r="A53" s="66" t="s">
        <v>150</v>
      </c>
      <c r="B53" s="91"/>
      <c r="C53" s="26"/>
      <c r="D53" s="28"/>
      <c r="E53" s="28"/>
    </row>
    <row r="54" spans="1:5" ht="12.75">
      <c r="A54" s="30" t="s">
        <v>151</v>
      </c>
      <c r="B54" s="91" t="str">
        <f>IF(B12&gt;0,"YES","NO")</f>
        <v>YES</v>
      </c>
      <c r="C54" s="26">
        <f>IF(B54="NO"," ",IF(B12&lt;20,B12*15,0.75*B12/2000))</f>
        <v>90</v>
      </c>
      <c r="D54" s="28" t="str">
        <f>IF(B54="NO"," ","lb/ton resin processed")</f>
        <v>lb/ton resin processed</v>
      </c>
      <c r="E54" s="28" t="str">
        <f>IF(B54="NO"," ","Unified Emission Factors - July 23, 2001")</f>
        <v>Unified Emission Factors - July 23, 2001</v>
      </c>
    </row>
    <row r="55" spans="1:5" ht="12.75">
      <c r="A55" s="30"/>
      <c r="B55" s="91"/>
      <c r="C55" s="26"/>
      <c r="D55" s="28"/>
      <c r="E55" s="28"/>
    </row>
    <row r="56" spans="1:4" ht="12.75">
      <c r="A56" s="28"/>
      <c r="B56" s="27"/>
      <c r="C56" s="26"/>
      <c r="D56" s="28"/>
    </row>
    <row r="57" spans="1:4" ht="15.75">
      <c r="A57" s="36" t="s">
        <v>45</v>
      </c>
      <c r="B57" s="27"/>
      <c r="C57" s="26"/>
      <c r="D57" s="28"/>
    </row>
    <row r="58" spans="1:10" ht="25.5">
      <c r="A58" s="67"/>
      <c r="B58" s="71" t="s">
        <v>63</v>
      </c>
      <c r="C58" s="70" t="s">
        <v>107</v>
      </c>
      <c r="D58" s="70" t="s">
        <v>145</v>
      </c>
      <c r="E58" s="74"/>
      <c r="F58" s="74"/>
      <c r="G58" s="74"/>
      <c r="H58" s="72"/>
      <c r="I58" s="72"/>
      <c r="J58" s="69"/>
    </row>
    <row r="59" spans="1:10" ht="12.75">
      <c r="A59" s="67"/>
      <c r="B59" s="73" t="s">
        <v>106</v>
      </c>
      <c r="C59" s="68" t="s">
        <v>146</v>
      </c>
      <c r="D59" s="68" t="s">
        <v>65</v>
      </c>
      <c r="E59" s="72"/>
      <c r="F59" s="72"/>
      <c r="G59" s="72"/>
      <c r="H59" s="72"/>
      <c r="I59" s="72"/>
      <c r="J59" s="72"/>
    </row>
    <row r="60" spans="1:4" ht="12.75">
      <c r="A60" s="66" t="s">
        <v>103</v>
      </c>
      <c r="B60" s="27"/>
      <c r="C60" s="26"/>
      <c r="D60" s="28"/>
    </row>
    <row r="61" spans="1:4" ht="12.75">
      <c r="A61" s="79" t="s">
        <v>144</v>
      </c>
      <c r="B61" s="46">
        <f aca="true" t="shared" si="4" ref="B61:B73">IF(B21="NO"," ",C21)</f>
        <v>117.28</v>
      </c>
      <c r="C61" s="26">
        <f>IF(B21="NO"," ",B9)</f>
        <v>0.08</v>
      </c>
      <c r="D61" s="92">
        <f aca="true" t="shared" si="5" ref="D61:D73">IF(B21="NO"," ",B61*C61)</f>
        <v>9.3824</v>
      </c>
    </row>
    <row r="62" spans="1:4" ht="12.75">
      <c r="A62" s="79" t="s">
        <v>217</v>
      </c>
      <c r="B62" s="46" t="str">
        <f t="shared" si="4"/>
        <v> </v>
      </c>
      <c r="C62" s="26" t="str">
        <f>IF(B22="NO"," ",B9)</f>
        <v> </v>
      </c>
      <c r="D62" s="92" t="str">
        <f t="shared" si="5"/>
        <v> </v>
      </c>
    </row>
    <row r="63" spans="1:4" ht="12.75">
      <c r="A63" s="79" t="s">
        <v>210</v>
      </c>
      <c r="B63" s="46" t="str">
        <f t="shared" si="4"/>
        <v> </v>
      </c>
      <c r="C63" s="26" t="str">
        <f>IF(B23="NO"," ",B9)</f>
        <v> </v>
      </c>
      <c r="D63" s="92" t="str">
        <f t="shared" si="5"/>
        <v> </v>
      </c>
    </row>
    <row r="64" spans="1:4" ht="12.75">
      <c r="A64" s="79" t="s">
        <v>218</v>
      </c>
      <c r="B64" s="46" t="str">
        <f t="shared" si="4"/>
        <v> </v>
      </c>
      <c r="C64" s="26" t="str">
        <f>IF(B24="NO"," ",B9)</f>
        <v> </v>
      </c>
      <c r="D64" s="92" t="str">
        <f t="shared" si="5"/>
        <v> </v>
      </c>
    </row>
    <row r="65" spans="1:4" ht="12.75">
      <c r="A65" s="79" t="s">
        <v>211</v>
      </c>
      <c r="B65" s="46" t="str">
        <f t="shared" si="4"/>
        <v> </v>
      </c>
      <c r="C65" s="26" t="str">
        <f>IF(B25="NO"," ",B9)</f>
        <v> </v>
      </c>
      <c r="D65" s="92" t="str">
        <f t="shared" si="5"/>
        <v> </v>
      </c>
    </row>
    <row r="66" spans="1:4" ht="12.75">
      <c r="A66" s="79" t="s">
        <v>219</v>
      </c>
      <c r="B66" s="46" t="str">
        <f t="shared" si="4"/>
        <v> </v>
      </c>
      <c r="C66" s="26" t="str">
        <f>IF(B26="NO"," ",B9)</f>
        <v> </v>
      </c>
      <c r="D66" s="92" t="str">
        <f t="shared" si="5"/>
        <v> </v>
      </c>
    </row>
    <row r="67" spans="1:4" ht="12.75">
      <c r="A67" s="79" t="s">
        <v>212</v>
      </c>
      <c r="B67" s="46" t="str">
        <f t="shared" si="4"/>
        <v> </v>
      </c>
      <c r="C67" s="26" t="str">
        <f>IF(B27="NO"," ",B9)</f>
        <v> </v>
      </c>
      <c r="D67" s="92" t="str">
        <f t="shared" si="5"/>
        <v> </v>
      </c>
    </row>
    <row r="68" spans="1:4" ht="12.75">
      <c r="A68" s="79" t="s">
        <v>220</v>
      </c>
      <c r="B68" s="46" t="str">
        <f t="shared" si="4"/>
        <v> </v>
      </c>
      <c r="C68" s="26" t="str">
        <f>IF(B28="NO"," ",B9)</f>
        <v> </v>
      </c>
      <c r="D68" s="92" t="str">
        <f t="shared" si="5"/>
        <v> </v>
      </c>
    </row>
    <row r="69" spans="1:4" ht="12.75">
      <c r="A69" s="79" t="s">
        <v>213</v>
      </c>
      <c r="B69" s="46" t="str">
        <f t="shared" si="4"/>
        <v> </v>
      </c>
      <c r="C69" s="26" t="str">
        <f>IF(B29="NO"," ",B9)</f>
        <v> </v>
      </c>
      <c r="D69" s="92" t="str">
        <f t="shared" si="5"/>
        <v> </v>
      </c>
    </row>
    <row r="70" spans="1:4" ht="12.75">
      <c r="A70" s="79" t="s">
        <v>216</v>
      </c>
      <c r="B70" s="46" t="str">
        <f t="shared" si="4"/>
        <v> </v>
      </c>
      <c r="C70" s="26" t="str">
        <f>IF(B30="NO"," ",B9)</f>
        <v> </v>
      </c>
      <c r="D70" s="92" t="str">
        <f t="shared" si="5"/>
        <v> </v>
      </c>
    </row>
    <row r="71" spans="1:4" ht="12.75">
      <c r="A71" s="31" t="s">
        <v>41</v>
      </c>
      <c r="B71" s="46" t="str">
        <f t="shared" si="4"/>
        <v> </v>
      </c>
      <c r="C71" s="26" t="str">
        <f>IF(B31="NO"," ",B9)</f>
        <v> </v>
      </c>
      <c r="D71" s="92" t="str">
        <f t="shared" si="5"/>
        <v> </v>
      </c>
    </row>
    <row r="72" spans="1:4" ht="12.75">
      <c r="A72" s="31" t="s">
        <v>42</v>
      </c>
      <c r="B72" s="46" t="str">
        <f t="shared" si="4"/>
        <v> </v>
      </c>
      <c r="C72" s="26" t="str">
        <f>IF(B32="NO"," ",B9)</f>
        <v> </v>
      </c>
      <c r="D72" s="92" t="str">
        <f t="shared" si="5"/>
        <v> </v>
      </c>
    </row>
    <row r="73" spans="1:4" ht="12.75">
      <c r="A73" s="31" t="s">
        <v>43</v>
      </c>
      <c r="B73" s="46" t="str">
        <f t="shared" si="4"/>
        <v> </v>
      </c>
      <c r="C73" s="26" t="str">
        <f>IF(B33="NO"," ",B9)</f>
        <v> </v>
      </c>
      <c r="D73" s="92" t="str">
        <f t="shared" si="5"/>
        <v> </v>
      </c>
    </row>
    <row r="74" spans="1:4" ht="12.75">
      <c r="A74" s="25"/>
      <c r="B74" s="46"/>
      <c r="C74" s="26"/>
      <c r="D74" s="92"/>
    </row>
    <row r="75" spans="1:4" ht="12.75">
      <c r="A75" s="28"/>
      <c r="B75" s="46"/>
      <c r="C75" s="26"/>
      <c r="D75" s="92"/>
    </row>
    <row r="76" spans="1:4" ht="12.75">
      <c r="A76" s="66" t="s">
        <v>104</v>
      </c>
      <c r="B76" s="46"/>
      <c r="C76" s="26"/>
      <c r="D76" s="92"/>
    </row>
    <row r="77" spans="1:4" ht="12.75">
      <c r="A77" s="79" t="s">
        <v>144</v>
      </c>
      <c r="B77" s="46" t="str">
        <f aca="true" t="shared" si="6" ref="B77:B89">IF(B21="NO"," ",C38)</f>
        <v> </v>
      </c>
      <c r="C77" s="26" t="str">
        <f>IF(AND(B21="yes",B13&gt;0),B9," ")</f>
        <v> </v>
      </c>
      <c r="D77" s="92" t="str">
        <f aca="true" t="shared" si="7" ref="D77:D89">IF(B77=" "," ",B77*C77)</f>
        <v> </v>
      </c>
    </row>
    <row r="78" spans="1:4" ht="12.75">
      <c r="A78" s="79" t="s">
        <v>217</v>
      </c>
      <c r="B78" s="46" t="str">
        <f t="shared" si="6"/>
        <v> </v>
      </c>
      <c r="C78" s="26" t="str">
        <f>IF(AND(B22="yes",B13&gt;0),B9," ")</f>
        <v> </v>
      </c>
      <c r="D78" s="92" t="str">
        <f t="shared" si="7"/>
        <v> </v>
      </c>
    </row>
    <row r="79" spans="1:4" ht="12.75">
      <c r="A79" s="79" t="s">
        <v>210</v>
      </c>
      <c r="B79" s="46" t="str">
        <f t="shared" si="6"/>
        <v> </v>
      </c>
      <c r="C79" s="26" t="str">
        <f>IF(AND(B23="yes",B13&gt;0),B9," ")</f>
        <v> </v>
      </c>
      <c r="D79" s="92" t="str">
        <f t="shared" si="7"/>
        <v> </v>
      </c>
    </row>
    <row r="80" spans="1:4" ht="12.75">
      <c r="A80" s="79" t="s">
        <v>218</v>
      </c>
      <c r="B80" s="46" t="str">
        <f t="shared" si="6"/>
        <v> </v>
      </c>
      <c r="C80" s="26" t="str">
        <f>IF(AND(B24="yes",B13&gt;0),B9," ")</f>
        <v> </v>
      </c>
      <c r="D80" s="92" t="str">
        <f t="shared" si="7"/>
        <v> </v>
      </c>
    </row>
    <row r="81" spans="1:4" ht="12.75">
      <c r="A81" s="79" t="s">
        <v>211</v>
      </c>
      <c r="B81" s="46" t="str">
        <f t="shared" si="6"/>
        <v> </v>
      </c>
      <c r="C81" s="26" t="str">
        <f>IF(AND(B25="yes",B13&gt;0),B9," ")</f>
        <v> </v>
      </c>
      <c r="D81" s="92" t="str">
        <f t="shared" si="7"/>
        <v> </v>
      </c>
    </row>
    <row r="82" spans="1:4" ht="12.75">
      <c r="A82" s="79" t="s">
        <v>219</v>
      </c>
      <c r="B82" s="46" t="str">
        <f t="shared" si="6"/>
        <v> </v>
      </c>
      <c r="C82" s="26" t="str">
        <f>IF(AND(B26="yes",B13&gt;0),B9," ")</f>
        <v> </v>
      </c>
      <c r="D82" s="92" t="str">
        <f t="shared" si="7"/>
        <v> </v>
      </c>
    </row>
    <row r="83" spans="1:4" ht="12.75">
      <c r="A83" s="79" t="s">
        <v>212</v>
      </c>
      <c r="B83" s="46" t="str">
        <f t="shared" si="6"/>
        <v> </v>
      </c>
      <c r="C83" s="26" t="str">
        <f>IF(AND(B27="yes",B13&gt;0),B9," ")</f>
        <v> </v>
      </c>
      <c r="D83" s="92" t="str">
        <f t="shared" si="7"/>
        <v> </v>
      </c>
    </row>
    <row r="84" spans="1:4" ht="12.75">
      <c r="A84" s="79" t="s">
        <v>220</v>
      </c>
      <c r="B84" s="46" t="str">
        <f t="shared" si="6"/>
        <v> </v>
      </c>
      <c r="C84" s="26" t="str">
        <f>IF(AND(B28="yes",B13&gt;0),B9," ")</f>
        <v> </v>
      </c>
      <c r="D84" s="92" t="str">
        <f t="shared" si="7"/>
        <v> </v>
      </c>
    </row>
    <row r="85" spans="1:4" ht="12.75">
      <c r="A85" s="79" t="s">
        <v>213</v>
      </c>
      <c r="B85" s="46" t="str">
        <f t="shared" si="6"/>
        <v> </v>
      </c>
      <c r="C85" s="26" t="str">
        <f>IF(AND(B29="yes",B13&gt;0),B9," ")</f>
        <v> </v>
      </c>
      <c r="D85" s="92" t="str">
        <f t="shared" si="7"/>
        <v> </v>
      </c>
    </row>
    <row r="86" spans="1:4" ht="12.75">
      <c r="A86" s="79" t="s">
        <v>216</v>
      </c>
      <c r="B86" s="46" t="str">
        <f t="shared" si="6"/>
        <v> </v>
      </c>
      <c r="C86" s="26" t="str">
        <f>IF(AND(B30="yes",B13&gt;0),B9," ")</f>
        <v> </v>
      </c>
      <c r="D86" s="92" t="str">
        <f t="shared" si="7"/>
        <v> </v>
      </c>
    </row>
    <row r="87" spans="1:4" ht="12.75">
      <c r="A87" s="31" t="s">
        <v>41</v>
      </c>
      <c r="B87" s="46" t="str">
        <f t="shared" si="6"/>
        <v> </v>
      </c>
      <c r="C87" s="26" t="str">
        <f>IF(AND(B31="yes",B13&gt;0),B9," ")</f>
        <v> </v>
      </c>
      <c r="D87" s="92" t="str">
        <f t="shared" si="7"/>
        <v> </v>
      </c>
    </row>
    <row r="88" spans="1:4" ht="12.75">
      <c r="A88" s="31" t="s">
        <v>42</v>
      </c>
      <c r="B88" s="46" t="str">
        <f t="shared" si="6"/>
        <v> </v>
      </c>
      <c r="C88" s="26" t="str">
        <f>IF(AND(B32="yes",B13&gt;0),B9," ")</f>
        <v> </v>
      </c>
      <c r="D88" s="92" t="str">
        <f t="shared" si="7"/>
        <v> </v>
      </c>
    </row>
    <row r="89" spans="1:4" ht="12.75">
      <c r="A89" s="31" t="s">
        <v>43</v>
      </c>
      <c r="B89" s="46" t="str">
        <f t="shared" si="6"/>
        <v> </v>
      </c>
      <c r="C89" s="26" t="str">
        <f>IF(AND(B33="yes",B13&gt;0),B9," ")</f>
        <v> </v>
      </c>
      <c r="D89" s="92" t="str">
        <f t="shared" si="7"/>
        <v> </v>
      </c>
    </row>
    <row r="90" spans="1:4" ht="12.75">
      <c r="A90" s="25"/>
      <c r="B90" s="46"/>
      <c r="C90" s="26"/>
      <c r="D90" s="92"/>
    </row>
    <row r="91" spans="1:4" ht="12.75">
      <c r="A91" s="66" t="s">
        <v>105</v>
      </c>
      <c r="B91" s="46"/>
      <c r="C91" s="26"/>
      <c r="D91" s="92"/>
    </row>
    <row r="92" spans="1:4" ht="12.75">
      <c r="A92" s="30" t="s">
        <v>105</v>
      </c>
      <c r="B92" s="46">
        <f>IF(B54="NO"," ",C54)</f>
        <v>90</v>
      </c>
      <c r="C92" s="26">
        <f>IF(B54="NO"," ",B9)</f>
        <v>0.08</v>
      </c>
      <c r="D92" s="92">
        <f>IF(B54="NO"," ",B92*C92)</f>
        <v>7.2</v>
      </c>
    </row>
    <row r="93" spans="1:4" ht="12.75">
      <c r="A93" s="25"/>
      <c r="B93" s="46"/>
      <c r="C93" s="26"/>
      <c r="D93" s="40"/>
    </row>
    <row r="94" spans="1:6" ht="12.75">
      <c r="A94" s="25"/>
      <c r="B94" s="46"/>
      <c r="C94" s="25"/>
      <c r="D94" s="96" t="s">
        <v>152</v>
      </c>
      <c r="E94" s="97">
        <f>SUM(D61:D92)</f>
        <v>16.5824</v>
      </c>
      <c r="F94" s="63" t="s">
        <v>64</v>
      </c>
    </row>
    <row r="95" spans="1:6" ht="12.75">
      <c r="A95" s="25"/>
      <c r="B95" s="46"/>
      <c r="C95" s="25"/>
      <c r="D95" s="96"/>
      <c r="E95" s="97"/>
      <c r="F95" s="63"/>
    </row>
    <row r="96" spans="1:2" ht="15.75">
      <c r="A96" s="37" t="s">
        <v>46</v>
      </c>
      <c r="B96" s="81"/>
    </row>
    <row r="97" ht="12.75">
      <c r="B97" s="81"/>
    </row>
    <row r="98" spans="1:4" ht="25.5">
      <c r="A98" s="67"/>
      <c r="B98" s="71" t="s">
        <v>63</v>
      </c>
      <c r="C98" s="70" t="s">
        <v>107</v>
      </c>
      <c r="D98" s="70" t="s">
        <v>145</v>
      </c>
    </row>
    <row r="99" spans="1:4" ht="12.75">
      <c r="A99" s="67"/>
      <c r="B99" s="73" t="s">
        <v>106</v>
      </c>
      <c r="C99" s="68" t="s">
        <v>62</v>
      </c>
      <c r="D99" s="68" t="s">
        <v>89</v>
      </c>
    </row>
    <row r="100" spans="1:4" ht="12.75">
      <c r="A100" s="66" t="s">
        <v>103</v>
      </c>
      <c r="B100" s="27"/>
      <c r="C100" s="26"/>
      <c r="D100" s="28"/>
    </row>
    <row r="101" spans="1:4" ht="12.75">
      <c r="A101" s="79" t="s">
        <v>144</v>
      </c>
      <c r="B101" s="46">
        <f aca="true" t="shared" si="8" ref="B101:B113">IF(B21="NO"," ",C21)</f>
        <v>117.28</v>
      </c>
      <c r="C101" s="26">
        <f>IF(B21="NO"," ",B10)</f>
        <v>45</v>
      </c>
      <c r="D101" s="92">
        <f aca="true" t="shared" si="9" ref="D101:D113">IF(B21="NO"," ",B101*C101/2000)</f>
        <v>2.6388000000000003</v>
      </c>
    </row>
    <row r="102" spans="1:4" ht="12.75">
      <c r="A102" s="79" t="s">
        <v>217</v>
      </c>
      <c r="B102" s="46" t="str">
        <f t="shared" si="8"/>
        <v> </v>
      </c>
      <c r="C102" s="26" t="str">
        <f>IF(B22="NO"," ",B10)</f>
        <v> </v>
      </c>
      <c r="D102" s="92" t="str">
        <f t="shared" si="9"/>
        <v> </v>
      </c>
    </row>
    <row r="103" spans="1:4" ht="12.75">
      <c r="A103" s="79" t="s">
        <v>210</v>
      </c>
      <c r="B103" s="46" t="str">
        <f t="shared" si="8"/>
        <v> </v>
      </c>
      <c r="C103" s="26" t="str">
        <f>IF(B23="NO"," ",B10)</f>
        <v> </v>
      </c>
      <c r="D103" s="92" t="str">
        <f t="shared" si="9"/>
        <v> </v>
      </c>
    </row>
    <row r="104" spans="1:4" ht="12.75">
      <c r="A104" s="79" t="s">
        <v>218</v>
      </c>
      <c r="B104" s="46" t="str">
        <f t="shared" si="8"/>
        <v> </v>
      </c>
      <c r="C104" s="26" t="str">
        <f>IF(B24="NO"," ",B10)</f>
        <v> </v>
      </c>
      <c r="D104" s="92" t="str">
        <f t="shared" si="9"/>
        <v> </v>
      </c>
    </row>
    <row r="105" spans="1:4" ht="12.75">
      <c r="A105" s="79" t="s">
        <v>211</v>
      </c>
      <c r="B105" s="46" t="str">
        <f t="shared" si="8"/>
        <v> </v>
      </c>
      <c r="C105" s="26" t="str">
        <f>IF(B25="NO"," ",B10)</f>
        <v> </v>
      </c>
      <c r="D105" s="92" t="str">
        <f t="shared" si="9"/>
        <v> </v>
      </c>
    </row>
    <row r="106" spans="1:4" ht="12.75">
      <c r="A106" s="79" t="s">
        <v>219</v>
      </c>
      <c r="B106" s="46" t="str">
        <f t="shared" si="8"/>
        <v> </v>
      </c>
      <c r="C106" s="26" t="str">
        <f>IF(B26="NO"," ",B10)</f>
        <v> </v>
      </c>
      <c r="D106" s="92" t="str">
        <f t="shared" si="9"/>
        <v> </v>
      </c>
    </row>
    <row r="107" spans="1:4" ht="12.75">
      <c r="A107" s="79" t="s">
        <v>212</v>
      </c>
      <c r="B107" s="46" t="str">
        <f t="shared" si="8"/>
        <v> </v>
      </c>
      <c r="C107" s="26" t="str">
        <f>IF(B27="NO"," ",B10)</f>
        <v> </v>
      </c>
      <c r="D107" s="92" t="str">
        <f t="shared" si="9"/>
        <v> </v>
      </c>
    </row>
    <row r="108" spans="1:4" ht="12.75">
      <c r="A108" s="79" t="s">
        <v>220</v>
      </c>
      <c r="B108" s="46" t="str">
        <f t="shared" si="8"/>
        <v> </v>
      </c>
      <c r="C108" s="26" t="str">
        <f>IF(B28="NO"," ",B10)</f>
        <v> </v>
      </c>
      <c r="D108" s="92" t="str">
        <f t="shared" si="9"/>
        <v> </v>
      </c>
    </row>
    <row r="109" spans="1:4" ht="12.75">
      <c r="A109" s="79" t="s">
        <v>213</v>
      </c>
      <c r="B109" s="46" t="str">
        <f t="shared" si="8"/>
        <v> </v>
      </c>
      <c r="C109" s="26" t="str">
        <f>IF(B29="NO"," ",B10)</f>
        <v> </v>
      </c>
      <c r="D109" s="92" t="str">
        <f t="shared" si="9"/>
        <v> </v>
      </c>
    </row>
    <row r="110" spans="1:4" ht="12.75">
      <c r="A110" s="79" t="s">
        <v>216</v>
      </c>
      <c r="B110" s="46" t="str">
        <f t="shared" si="8"/>
        <v> </v>
      </c>
      <c r="C110" s="26" t="str">
        <f>IF(B30="NO"," ",B10)</f>
        <v> </v>
      </c>
      <c r="D110" s="92" t="str">
        <f t="shared" si="9"/>
        <v> </v>
      </c>
    </row>
    <row r="111" spans="1:4" ht="12.75">
      <c r="A111" s="31" t="s">
        <v>41</v>
      </c>
      <c r="B111" s="46" t="str">
        <f t="shared" si="8"/>
        <v> </v>
      </c>
      <c r="C111" s="26" t="str">
        <f>IF(B31="NO"," ",B10)</f>
        <v> </v>
      </c>
      <c r="D111" s="92" t="str">
        <f t="shared" si="9"/>
        <v> </v>
      </c>
    </row>
    <row r="112" spans="1:4" ht="12.75">
      <c r="A112" s="31" t="s">
        <v>42</v>
      </c>
      <c r="B112" s="46" t="str">
        <f t="shared" si="8"/>
        <v> </v>
      </c>
      <c r="C112" s="26" t="str">
        <f>IF(B32="NO"," ",B10)</f>
        <v> </v>
      </c>
      <c r="D112" s="92" t="str">
        <f t="shared" si="9"/>
        <v> </v>
      </c>
    </row>
    <row r="113" spans="1:4" ht="12.75">
      <c r="A113" s="31" t="s">
        <v>43</v>
      </c>
      <c r="B113" s="46" t="str">
        <f t="shared" si="8"/>
        <v> </v>
      </c>
      <c r="C113" s="26" t="str">
        <f>IF(B33="NO"," ",B10)</f>
        <v> </v>
      </c>
      <c r="D113" s="92" t="str">
        <f t="shared" si="9"/>
        <v> </v>
      </c>
    </row>
    <row r="114" spans="1:4" ht="12.75">
      <c r="A114" s="25"/>
      <c r="B114" s="46"/>
      <c r="C114" s="26"/>
      <c r="D114" s="92"/>
    </row>
    <row r="115" spans="1:4" ht="12.75">
      <c r="A115" s="28"/>
      <c r="B115" s="46"/>
      <c r="C115" s="26"/>
      <c r="D115" s="92"/>
    </row>
    <row r="116" spans="1:4" ht="12.75">
      <c r="A116" s="66" t="s">
        <v>104</v>
      </c>
      <c r="B116" s="46"/>
      <c r="C116" s="26"/>
      <c r="D116" s="92"/>
    </row>
    <row r="117" spans="1:4" ht="12.75">
      <c r="A117" s="79" t="s">
        <v>144</v>
      </c>
      <c r="B117" s="46" t="str">
        <f>IF(B21="NO"," ",C38)</f>
        <v> </v>
      </c>
      <c r="C117" s="26" t="str">
        <f>IF(AND(B21="yes",B13&gt;0),B10," ")</f>
        <v> </v>
      </c>
      <c r="D117" s="92" t="str">
        <f>IF(B117=" "," ",B117*C117/2000)</f>
        <v> </v>
      </c>
    </row>
    <row r="118" spans="1:4" ht="12.75">
      <c r="A118" s="79" t="s">
        <v>217</v>
      </c>
      <c r="B118" s="46" t="str">
        <f aca="true" t="shared" si="10" ref="B118:B129">IF(B22="NO"," ",C39)</f>
        <v> </v>
      </c>
      <c r="C118" s="26" t="str">
        <f>IF(AND(B22="yes",B13&gt;0),B10," ")</f>
        <v> </v>
      </c>
      <c r="D118" s="92" t="str">
        <f aca="true" t="shared" si="11" ref="D118:D129">IF(B118=" "," ",B118*C118/2000)</f>
        <v> </v>
      </c>
    </row>
    <row r="119" spans="1:4" ht="12.75">
      <c r="A119" s="79" t="s">
        <v>210</v>
      </c>
      <c r="B119" s="46" t="str">
        <f t="shared" si="10"/>
        <v> </v>
      </c>
      <c r="C119" s="26" t="str">
        <f>IF(AND(B23="yes",B13&gt;0),B10," ")</f>
        <v> </v>
      </c>
      <c r="D119" s="92" t="str">
        <f t="shared" si="11"/>
        <v> </v>
      </c>
    </row>
    <row r="120" spans="1:4" ht="12.75">
      <c r="A120" s="79" t="s">
        <v>218</v>
      </c>
      <c r="B120" s="46" t="str">
        <f t="shared" si="10"/>
        <v> </v>
      </c>
      <c r="C120" s="26" t="str">
        <f>IF(AND(B24="yes",B13&gt;0),B10," ")</f>
        <v> </v>
      </c>
      <c r="D120" s="92" t="str">
        <f t="shared" si="11"/>
        <v> </v>
      </c>
    </row>
    <row r="121" spans="1:4" ht="12.75">
      <c r="A121" s="79" t="s">
        <v>211</v>
      </c>
      <c r="B121" s="46" t="str">
        <f t="shared" si="10"/>
        <v> </v>
      </c>
      <c r="C121" s="26" t="str">
        <f>IF(AND(B25="yes",B13&gt;0),B10," ")</f>
        <v> </v>
      </c>
      <c r="D121" s="92" t="str">
        <f t="shared" si="11"/>
        <v> </v>
      </c>
    </row>
    <row r="122" spans="1:4" ht="12.75">
      <c r="A122" s="79" t="s">
        <v>219</v>
      </c>
      <c r="B122" s="46" t="str">
        <f t="shared" si="10"/>
        <v> </v>
      </c>
      <c r="C122" s="26" t="str">
        <f>IF(AND(B26="yes",B13&gt;0),B10," ")</f>
        <v> </v>
      </c>
      <c r="D122" s="92" t="str">
        <f t="shared" si="11"/>
        <v> </v>
      </c>
    </row>
    <row r="123" spans="1:4" ht="12.75">
      <c r="A123" s="79" t="s">
        <v>212</v>
      </c>
      <c r="B123" s="46" t="str">
        <f t="shared" si="10"/>
        <v> </v>
      </c>
      <c r="C123" s="26" t="str">
        <f>IF(AND(B27="yes",B13&gt;0),B10," ")</f>
        <v> </v>
      </c>
      <c r="D123" s="92" t="str">
        <f t="shared" si="11"/>
        <v> </v>
      </c>
    </row>
    <row r="124" spans="1:4" ht="12.75">
      <c r="A124" s="79" t="s">
        <v>220</v>
      </c>
      <c r="B124" s="46" t="str">
        <f t="shared" si="10"/>
        <v> </v>
      </c>
      <c r="C124" s="26" t="str">
        <f>IF(AND(B28="yes",B13&gt;0),B10," ")</f>
        <v> </v>
      </c>
      <c r="D124" s="92" t="str">
        <f t="shared" si="11"/>
        <v> </v>
      </c>
    </row>
    <row r="125" spans="1:4" ht="12.75">
      <c r="A125" s="79" t="s">
        <v>213</v>
      </c>
      <c r="B125" s="46" t="str">
        <f t="shared" si="10"/>
        <v> </v>
      </c>
      <c r="C125" s="26" t="str">
        <f>IF(AND(B29="yes",B13&gt;0),B10," ")</f>
        <v> </v>
      </c>
      <c r="D125" s="92" t="str">
        <f t="shared" si="11"/>
        <v> </v>
      </c>
    </row>
    <row r="126" spans="1:4" ht="12.75">
      <c r="A126" s="79" t="s">
        <v>216</v>
      </c>
      <c r="B126" s="46" t="str">
        <f t="shared" si="10"/>
        <v> </v>
      </c>
      <c r="C126" s="26" t="str">
        <f>IF(AND(B30="yes",B13&gt;0),B10," ")</f>
        <v> </v>
      </c>
      <c r="D126" s="92" t="str">
        <f t="shared" si="11"/>
        <v> </v>
      </c>
    </row>
    <row r="127" spans="1:4" ht="12.75">
      <c r="A127" s="31" t="s">
        <v>41</v>
      </c>
      <c r="B127" s="46" t="str">
        <f t="shared" si="10"/>
        <v> </v>
      </c>
      <c r="C127" s="26" t="str">
        <f>IF(AND(B31="yes",B13&gt;0),B10," ")</f>
        <v> </v>
      </c>
      <c r="D127" s="92" t="str">
        <f t="shared" si="11"/>
        <v> </v>
      </c>
    </row>
    <row r="128" spans="1:4" ht="12.75">
      <c r="A128" s="31" t="s">
        <v>42</v>
      </c>
      <c r="B128" s="46" t="str">
        <f t="shared" si="10"/>
        <v> </v>
      </c>
      <c r="C128" s="26" t="str">
        <f>IF(AND(B32="yes",B13&gt;0),B10," ")</f>
        <v> </v>
      </c>
      <c r="D128" s="92" t="str">
        <f t="shared" si="11"/>
        <v> </v>
      </c>
    </row>
    <row r="129" spans="1:4" ht="12.75">
      <c r="A129" s="31" t="s">
        <v>43</v>
      </c>
      <c r="B129" s="46" t="str">
        <f t="shared" si="10"/>
        <v> </v>
      </c>
      <c r="C129" s="26" t="str">
        <f>IF(AND(B33="yes",B13&gt;0),B10," ")</f>
        <v> </v>
      </c>
      <c r="D129" s="92" t="str">
        <f t="shared" si="11"/>
        <v> </v>
      </c>
    </row>
    <row r="130" spans="1:4" ht="12.75">
      <c r="A130" s="25"/>
      <c r="B130" s="46"/>
      <c r="C130" s="26"/>
      <c r="D130" s="92"/>
    </row>
    <row r="131" spans="1:4" ht="12.75">
      <c r="A131" s="66" t="s">
        <v>105</v>
      </c>
      <c r="B131" s="46"/>
      <c r="C131" s="26"/>
      <c r="D131" s="92"/>
    </row>
    <row r="132" spans="1:4" ht="12.75">
      <c r="A132" s="30" t="s">
        <v>105</v>
      </c>
      <c r="B132" s="46">
        <f>IF(B54="NO"," ",C54)</f>
        <v>90</v>
      </c>
      <c r="C132" s="26">
        <f>IF(B54="NO"," ",B10)</f>
        <v>45</v>
      </c>
      <c r="D132" s="92">
        <f>IF(B54="NO"," ",B132*C132/2000)</f>
        <v>2.025</v>
      </c>
    </row>
    <row r="133" spans="1:4" ht="12.75">
      <c r="A133" s="25"/>
      <c r="B133" s="46"/>
      <c r="C133" s="26"/>
      <c r="D133" s="40"/>
    </row>
    <row r="134" spans="1:6" ht="12.75">
      <c r="A134" s="25"/>
      <c r="B134" s="46"/>
      <c r="C134" s="25"/>
      <c r="D134" s="96" t="s">
        <v>152</v>
      </c>
      <c r="E134" s="97">
        <f>SUM(D101:D132)</f>
        <v>4.6638</v>
      </c>
      <c r="F134" s="63" t="s">
        <v>153</v>
      </c>
    </row>
    <row r="135" spans="1:3" ht="14.25">
      <c r="A135" s="29"/>
      <c r="B135" s="89"/>
      <c r="C135" s="25"/>
    </row>
    <row r="136" ht="12.75">
      <c r="B136" s="90"/>
    </row>
    <row r="137" ht="12.75">
      <c r="B137" s="90"/>
    </row>
    <row r="138" ht="12.75">
      <c r="B138" s="90"/>
    </row>
    <row r="139" ht="12.75">
      <c r="B139" s="90"/>
    </row>
    <row r="140" ht="12.75">
      <c r="B140" s="90"/>
    </row>
  </sheetData>
  <mergeCells count="5"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landscape" scale="27" r:id="rId1"/>
  <headerFooter alignWithMargins="0">
    <oddFooter>&amp;LOK INDUSTRIAL COMPOSITES EMISSION CALCULATIONS.XLS&amp;RPRINTED ON RECYCLED PAPER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workbookViewId="0" topLeftCell="A1">
      <selection activeCell="A1" sqref="A1:G1"/>
    </sheetView>
  </sheetViews>
  <sheetFormatPr defaultColWidth="9.140625" defaultRowHeight="12.75"/>
  <cols>
    <col min="1" max="1" width="35.28125" style="0" customWidth="1"/>
    <col min="2" max="2" width="15.7109375" style="0" customWidth="1"/>
    <col min="3" max="3" width="21.421875" style="0" customWidth="1"/>
    <col min="4" max="4" width="24.140625" style="0" customWidth="1"/>
    <col min="5" max="5" width="24.57421875" style="0" customWidth="1"/>
    <col min="6" max="6" width="25.421875" style="0" customWidth="1"/>
  </cols>
  <sheetData>
    <row r="1" spans="1:7" ht="18">
      <c r="A1" s="226" t="s">
        <v>3</v>
      </c>
      <c r="B1" s="226"/>
      <c r="C1" s="226"/>
      <c r="D1" s="226"/>
      <c r="E1" s="226"/>
      <c r="F1" s="226"/>
      <c r="G1" s="226"/>
    </row>
    <row r="2" spans="1:7" ht="18">
      <c r="A2" s="225" t="s">
        <v>206</v>
      </c>
      <c r="B2" s="225"/>
      <c r="C2" s="225"/>
      <c r="D2" s="225"/>
      <c r="E2" s="225"/>
      <c r="F2" s="225"/>
      <c r="G2" s="225"/>
    </row>
    <row r="3" spans="1:7" ht="18">
      <c r="A3" s="225" t="s">
        <v>205</v>
      </c>
      <c r="B3" s="225"/>
      <c r="C3" s="225"/>
      <c r="D3" s="225"/>
      <c r="E3" s="225"/>
      <c r="F3" s="225"/>
      <c r="G3" s="225"/>
    </row>
    <row r="4" spans="1:7" ht="18">
      <c r="A4" s="227" t="s">
        <v>47</v>
      </c>
      <c r="B4" s="227"/>
      <c r="C4" s="227"/>
      <c r="D4" s="227"/>
      <c r="E4" s="227"/>
      <c r="F4" s="227"/>
      <c r="G4" s="227"/>
    </row>
    <row r="5" spans="1:7" ht="18">
      <c r="A5" s="225" t="s">
        <v>48</v>
      </c>
      <c r="B5" s="225"/>
      <c r="C5" s="225"/>
      <c r="D5" s="225"/>
      <c r="E5" s="225"/>
      <c r="F5" s="225"/>
      <c r="G5" s="225"/>
    </row>
    <row r="6" spans="1:7" ht="18">
      <c r="A6" s="38"/>
      <c r="B6" s="38"/>
      <c r="C6" s="38"/>
      <c r="D6" s="38"/>
      <c r="E6" s="38"/>
      <c r="F6" s="38"/>
      <c r="G6" s="38"/>
    </row>
    <row r="8" spans="1:4" ht="12.75">
      <c r="A8" s="24" t="s">
        <v>29</v>
      </c>
      <c r="B8" s="24" t="s">
        <v>30</v>
      </c>
      <c r="C8" s="24" t="s">
        <v>31</v>
      </c>
      <c r="D8" s="24" t="s">
        <v>32</v>
      </c>
    </row>
    <row r="9" spans="1:4" ht="12.75">
      <c r="A9" s="28" t="s">
        <v>67</v>
      </c>
      <c r="B9" s="146">
        <v>4</v>
      </c>
      <c r="C9" s="30" t="s">
        <v>33</v>
      </c>
      <c r="D9" s="28" t="s">
        <v>227</v>
      </c>
    </row>
    <row r="10" spans="1:4" ht="12.75">
      <c r="A10" s="28" t="s">
        <v>66</v>
      </c>
      <c r="B10" s="146">
        <v>1200</v>
      </c>
      <c r="C10" s="30" t="s">
        <v>34</v>
      </c>
      <c r="D10" s="28" t="s">
        <v>227</v>
      </c>
    </row>
    <row r="11" spans="1:4" ht="12.75">
      <c r="A11" s="28" t="s">
        <v>70</v>
      </c>
      <c r="B11" s="146">
        <v>0.5</v>
      </c>
      <c r="C11" s="30" t="s">
        <v>71</v>
      </c>
      <c r="D11" s="28" t="s">
        <v>227</v>
      </c>
    </row>
    <row r="12" spans="1:4" ht="14.25" customHeight="1">
      <c r="A12" s="28" t="s">
        <v>78</v>
      </c>
      <c r="B12" s="146">
        <v>0</v>
      </c>
      <c r="C12" s="26" t="s">
        <v>35</v>
      </c>
      <c r="D12" s="28" t="s">
        <v>38</v>
      </c>
    </row>
    <row r="13" spans="1:4" ht="14.25" customHeight="1">
      <c r="A13" s="28" t="s">
        <v>79</v>
      </c>
      <c r="B13" s="146">
        <v>6.69</v>
      </c>
      <c r="C13" s="26" t="s">
        <v>35</v>
      </c>
      <c r="D13" s="28" t="s">
        <v>38</v>
      </c>
    </row>
    <row r="14" spans="1:4" ht="14.25" customHeight="1">
      <c r="A14" s="28" t="s">
        <v>194</v>
      </c>
      <c r="B14" s="146">
        <v>6.69</v>
      </c>
      <c r="C14" s="26" t="s">
        <v>35</v>
      </c>
      <c r="D14" s="28" t="s">
        <v>38</v>
      </c>
    </row>
    <row r="15" spans="1:4" ht="14.25" customHeight="1">
      <c r="A15" s="28"/>
      <c r="B15" s="146"/>
      <c r="C15" s="30"/>
      <c r="D15" s="28"/>
    </row>
    <row r="16" spans="1:4" ht="12.75">
      <c r="A16" s="28"/>
      <c r="B16" s="146"/>
      <c r="C16" s="30"/>
      <c r="D16" s="28"/>
    </row>
    <row r="17" spans="1:4" ht="12.75">
      <c r="A17" s="28" t="s">
        <v>68</v>
      </c>
      <c r="B17" s="146">
        <v>4</v>
      </c>
      <c r="C17" s="30" t="s">
        <v>33</v>
      </c>
      <c r="D17" s="28" t="s">
        <v>227</v>
      </c>
    </row>
    <row r="18" spans="1:4" ht="12.75">
      <c r="A18" s="28" t="s">
        <v>69</v>
      </c>
      <c r="B18" s="146">
        <v>1600</v>
      </c>
      <c r="C18" s="30" t="s">
        <v>34</v>
      </c>
      <c r="D18" s="28" t="s">
        <v>227</v>
      </c>
    </row>
    <row r="19" spans="1:4" ht="12.75">
      <c r="A19" s="28" t="s">
        <v>80</v>
      </c>
      <c r="B19" s="146">
        <v>0.9</v>
      </c>
      <c r="C19" s="30" t="s">
        <v>71</v>
      </c>
      <c r="D19" s="28" t="s">
        <v>227</v>
      </c>
    </row>
    <row r="20" spans="1:4" ht="14.25" customHeight="1">
      <c r="A20" s="28" t="s">
        <v>78</v>
      </c>
      <c r="B20" s="146">
        <v>8.2</v>
      </c>
      <c r="C20" s="26" t="s">
        <v>35</v>
      </c>
      <c r="D20" s="28" t="s">
        <v>38</v>
      </c>
    </row>
    <row r="21" spans="1:4" ht="14.25" customHeight="1">
      <c r="A21" s="28" t="s">
        <v>79</v>
      </c>
      <c r="B21" s="146">
        <v>0</v>
      </c>
      <c r="C21" s="26" t="s">
        <v>35</v>
      </c>
      <c r="D21" s="28" t="s">
        <v>38</v>
      </c>
    </row>
    <row r="22" spans="1:4" ht="14.25" customHeight="1">
      <c r="A22" s="28" t="s">
        <v>194</v>
      </c>
      <c r="B22" s="146">
        <v>8.2</v>
      </c>
      <c r="C22" s="26" t="s">
        <v>35</v>
      </c>
      <c r="D22" s="28" t="s">
        <v>38</v>
      </c>
    </row>
    <row r="23" spans="1:4" ht="14.25" customHeight="1">
      <c r="A23" s="28"/>
      <c r="B23" s="149"/>
      <c r="C23" s="26"/>
      <c r="D23" s="28"/>
    </row>
    <row r="24" spans="1:4" ht="14.25" customHeight="1">
      <c r="A24" s="66" t="s">
        <v>189</v>
      </c>
      <c r="B24" s="149"/>
      <c r="C24" s="26"/>
      <c r="D24" s="28"/>
    </row>
    <row r="25" spans="1:4" ht="14.25" customHeight="1">
      <c r="A25" s="142" t="s">
        <v>180</v>
      </c>
      <c r="B25" s="146">
        <v>73</v>
      </c>
      <c r="C25" s="30" t="s">
        <v>188</v>
      </c>
      <c r="D25" s="28" t="s">
        <v>38</v>
      </c>
    </row>
    <row r="26" spans="1:4" ht="14.25" customHeight="1">
      <c r="A26" s="142" t="s">
        <v>181</v>
      </c>
      <c r="B26" s="146">
        <v>27</v>
      </c>
      <c r="C26" s="30" t="s">
        <v>188</v>
      </c>
      <c r="D26" s="28" t="s">
        <v>38</v>
      </c>
    </row>
    <row r="27" spans="1:4" ht="14.25" customHeight="1">
      <c r="A27" s="142" t="s">
        <v>182</v>
      </c>
      <c r="B27" s="146">
        <v>25</v>
      </c>
      <c r="C27" s="30" t="s">
        <v>188</v>
      </c>
      <c r="D27" s="28" t="s">
        <v>38</v>
      </c>
    </row>
    <row r="28" spans="1:4" ht="14.25" customHeight="1">
      <c r="A28" s="142"/>
      <c r="B28" s="146"/>
      <c r="C28" s="30"/>
      <c r="D28" s="28"/>
    </row>
    <row r="29" spans="1:4" ht="14.25" customHeight="1">
      <c r="A29" s="169" t="s">
        <v>248</v>
      </c>
      <c r="B29" s="146"/>
      <c r="C29" s="30"/>
      <c r="D29" s="28"/>
    </row>
    <row r="30" spans="1:4" ht="14.25" customHeight="1">
      <c r="A30" s="142" t="s">
        <v>232</v>
      </c>
      <c r="B30" s="146">
        <v>0.42</v>
      </c>
      <c r="C30" s="30"/>
      <c r="D30" s="28" t="s">
        <v>227</v>
      </c>
    </row>
    <row r="31" spans="1:4" ht="14.25" customHeight="1">
      <c r="A31" s="142" t="s">
        <v>237</v>
      </c>
      <c r="B31" s="146">
        <v>0.46</v>
      </c>
      <c r="C31" s="30"/>
      <c r="D31" s="28" t="s">
        <v>227</v>
      </c>
    </row>
    <row r="32" spans="1:4" ht="14.25" customHeight="1">
      <c r="A32" s="142" t="s">
        <v>249</v>
      </c>
      <c r="B32" s="146">
        <v>0.12</v>
      </c>
      <c r="C32" s="30"/>
      <c r="D32" s="28" t="s">
        <v>227</v>
      </c>
    </row>
    <row r="33" spans="1:4" ht="14.25" customHeight="1">
      <c r="A33" s="171" t="s">
        <v>250</v>
      </c>
      <c r="B33" s="172">
        <f>SUM(B30:B32)</f>
        <v>1</v>
      </c>
      <c r="C33" s="30"/>
      <c r="D33" s="28"/>
    </row>
    <row r="34" spans="1:4" ht="14.25" customHeight="1">
      <c r="A34" s="171"/>
      <c r="B34" s="172"/>
      <c r="C34" s="30"/>
      <c r="D34" s="28"/>
    </row>
    <row r="35" spans="1:4" ht="12.75">
      <c r="A35" s="31" t="s">
        <v>251</v>
      </c>
      <c r="B35" s="35"/>
      <c r="C35" s="26"/>
      <c r="D35" s="28"/>
    </row>
    <row r="36" spans="1:4" ht="12.75">
      <c r="A36" s="28"/>
      <c r="B36" s="27"/>
      <c r="C36" s="26"/>
      <c r="D36" s="28"/>
    </row>
    <row r="37" spans="1:8" ht="15.75">
      <c r="A37" s="143" t="s">
        <v>72</v>
      </c>
      <c r="B37" s="25"/>
      <c r="C37" s="25"/>
      <c r="D37" s="25"/>
      <c r="E37" s="25"/>
      <c r="F37" s="25"/>
      <c r="G37" s="25"/>
      <c r="H37" s="25"/>
    </row>
    <row r="38" spans="1:7" ht="12.75">
      <c r="A38" s="39" t="s">
        <v>52</v>
      </c>
      <c r="B38" s="30" t="s">
        <v>81</v>
      </c>
      <c r="C38" s="26" t="s">
        <v>53</v>
      </c>
      <c r="D38" s="30" t="s">
        <v>83</v>
      </c>
      <c r="E38" s="26" t="s">
        <v>54</v>
      </c>
      <c r="F38" s="26"/>
      <c r="G38" s="25"/>
    </row>
    <row r="39" spans="1:7" ht="12.75">
      <c r="A39" s="25"/>
      <c r="B39" s="26" t="s">
        <v>55</v>
      </c>
      <c r="C39" s="26" t="s">
        <v>56</v>
      </c>
      <c r="D39" s="30" t="s">
        <v>82</v>
      </c>
      <c r="E39" s="26" t="s">
        <v>57</v>
      </c>
      <c r="F39" s="26"/>
      <c r="G39" s="25"/>
    </row>
    <row r="40" spans="1:7" ht="12.75">
      <c r="A40" s="25"/>
      <c r="B40" s="46">
        <f>B17</f>
        <v>4</v>
      </c>
      <c r="C40" s="40">
        <f>B20</f>
        <v>8.2</v>
      </c>
      <c r="D40" s="50">
        <f>1-B19</f>
        <v>0.09999999999999998</v>
      </c>
      <c r="E40" s="42">
        <f>B40*C40*D40</f>
        <v>3.279999999999999</v>
      </c>
      <c r="F40" s="43" t="s">
        <v>58</v>
      </c>
      <c r="G40" s="25"/>
    </row>
    <row r="41" spans="1:7" ht="12.75">
      <c r="A41" s="25"/>
      <c r="B41" s="26"/>
      <c r="C41" s="40"/>
      <c r="D41" s="41"/>
      <c r="E41" s="42"/>
      <c r="F41" s="43"/>
      <c r="G41" s="25"/>
    </row>
    <row r="42" spans="1:7" ht="12.75">
      <c r="A42" s="39" t="s">
        <v>73</v>
      </c>
      <c r="B42" s="30" t="s">
        <v>81</v>
      </c>
      <c r="C42" s="30" t="s">
        <v>74</v>
      </c>
      <c r="D42" s="30" t="s">
        <v>83</v>
      </c>
      <c r="E42" s="48" t="s">
        <v>75</v>
      </c>
      <c r="F42" s="26"/>
      <c r="G42" s="25"/>
    </row>
    <row r="43" spans="1:7" ht="12.75">
      <c r="A43" s="25"/>
      <c r="B43" s="26" t="s">
        <v>55</v>
      </c>
      <c r="C43" s="26" t="s">
        <v>56</v>
      </c>
      <c r="D43" s="30" t="s">
        <v>82</v>
      </c>
      <c r="E43" s="26" t="s">
        <v>57</v>
      </c>
      <c r="F43" s="26"/>
      <c r="G43" s="25"/>
    </row>
    <row r="44" spans="1:7" ht="12.75">
      <c r="A44" s="25"/>
      <c r="B44" s="46">
        <f>B9</f>
        <v>4</v>
      </c>
      <c r="C44" s="40">
        <f>B13</f>
        <v>6.69</v>
      </c>
      <c r="D44" s="46">
        <f>1-B11</f>
        <v>0.5</v>
      </c>
      <c r="E44" s="42">
        <f>B44*C44*D44</f>
        <v>13.38</v>
      </c>
      <c r="F44" s="43" t="s">
        <v>76</v>
      </c>
      <c r="G44" s="25"/>
    </row>
    <row r="45" spans="1:7" ht="12.75">
      <c r="A45" s="25"/>
      <c r="B45" s="25"/>
      <c r="C45" s="25"/>
      <c r="D45" s="25"/>
      <c r="E45" s="25"/>
      <c r="F45" s="25"/>
      <c r="G45" s="25"/>
    </row>
    <row r="46" spans="1:7" ht="12.75">
      <c r="A46" s="25"/>
      <c r="B46" s="25"/>
      <c r="C46" s="25"/>
      <c r="D46" s="25"/>
      <c r="E46" s="25"/>
      <c r="F46" s="25"/>
      <c r="G46" s="25"/>
    </row>
    <row r="47" spans="1:7" ht="15.75">
      <c r="A47" s="143" t="s">
        <v>51</v>
      </c>
      <c r="B47" s="25"/>
      <c r="C47" s="25"/>
      <c r="D47" s="25"/>
      <c r="E47" s="25"/>
      <c r="F47" s="25"/>
      <c r="G47" s="25"/>
    </row>
    <row r="48" spans="1:7" ht="12.75">
      <c r="A48" s="39" t="s">
        <v>52</v>
      </c>
      <c r="B48" s="30" t="s">
        <v>81</v>
      </c>
      <c r="C48" s="26" t="s">
        <v>53</v>
      </c>
      <c r="D48" s="30" t="s">
        <v>83</v>
      </c>
      <c r="E48" s="26" t="s">
        <v>54</v>
      </c>
      <c r="F48" s="25"/>
      <c r="G48" s="25"/>
    </row>
    <row r="49" spans="1:7" ht="12.75">
      <c r="A49" s="25"/>
      <c r="B49" s="26" t="s">
        <v>59</v>
      </c>
      <c r="C49" s="26" t="s">
        <v>56</v>
      </c>
      <c r="D49" s="30" t="s">
        <v>82</v>
      </c>
      <c r="E49" s="26" t="s">
        <v>60</v>
      </c>
      <c r="F49" s="25"/>
      <c r="G49" s="25"/>
    </row>
    <row r="50" spans="1:7" ht="12.75">
      <c r="A50" s="25"/>
      <c r="B50" s="44">
        <f>B18</f>
        <v>1600</v>
      </c>
      <c r="C50" s="40">
        <f>B20</f>
        <v>8.2</v>
      </c>
      <c r="D50" s="46">
        <f>1-B19</f>
        <v>0.09999999999999998</v>
      </c>
      <c r="E50" s="45">
        <f>(B50*C50*D50)/2000</f>
        <v>0.6559999999999998</v>
      </c>
      <c r="F50" s="43" t="s">
        <v>61</v>
      </c>
      <c r="G50" s="25"/>
    </row>
    <row r="51" spans="1:7" ht="12.75">
      <c r="A51" s="25"/>
      <c r="B51" s="44"/>
      <c r="C51" s="40"/>
      <c r="D51" s="46"/>
      <c r="E51" s="45"/>
      <c r="F51" s="43"/>
      <c r="G51" s="25"/>
    </row>
    <row r="52" spans="1:7" ht="12.75">
      <c r="A52" s="25"/>
      <c r="B52" s="44"/>
      <c r="C52" s="40"/>
      <c r="D52" s="46"/>
      <c r="E52" s="26" t="s">
        <v>54</v>
      </c>
      <c r="F52" s="43"/>
      <c r="G52" s="25"/>
    </row>
    <row r="53" spans="1:7" ht="12.75">
      <c r="A53" s="25"/>
      <c r="B53" s="44"/>
      <c r="C53" s="95" t="s">
        <v>88</v>
      </c>
      <c r="D53" s="50" t="s">
        <v>252</v>
      </c>
      <c r="E53" s="26" t="s">
        <v>60</v>
      </c>
      <c r="F53" s="43"/>
      <c r="G53" s="25"/>
    </row>
    <row r="54" spans="1:7" ht="12.75">
      <c r="A54" s="25"/>
      <c r="B54" s="44"/>
      <c r="C54" s="170" t="s">
        <v>232</v>
      </c>
      <c r="D54" s="40">
        <f>B30</f>
        <v>0.42</v>
      </c>
      <c r="E54" s="45">
        <f>D54*E50</f>
        <v>0.27551999999999993</v>
      </c>
      <c r="F54" s="43" t="s">
        <v>61</v>
      </c>
      <c r="G54" s="25"/>
    </row>
    <row r="55" spans="1:7" ht="12.75">
      <c r="A55" s="25"/>
      <c r="B55" s="44"/>
      <c r="C55" s="170" t="s">
        <v>237</v>
      </c>
      <c r="D55" s="40">
        <f>B31</f>
        <v>0.46</v>
      </c>
      <c r="E55" s="45">
        <f>D55*E50</f>
        <v>0.3017599999999999</v>
      </c>
      <c r="F55" s="43" t="s">
        <v>61</v>
      </c>
      <c r="G55" s="25"/>
    </row>
    <row r="56" spans="1:7" ht="12.75">
      <c r="A56" s="25"/>
      <c r="B56" s="44"/>
      <c r="C56" s="170" t="s">
        <v>249</v>
      </c>
      <c r="D56" s="40">
        <f>B32</f>
        <v>0.12</v>
      </c>
      <c r="E56" s="45">
        <f>D56*E50</f>
        <v>0.07871999999999997</v>
      </c>
      <c r="F56" s="43" t="s">
        <v>61</v>
      </c>
      <c r="G56" s="25"/>
    </row>
    <row r="57" spans="1:7" ht="12.75">
      <c r="A57" s="25"/>
      <c r="B57" s="44"/>
      <c r="C57" s="40"/>
      <c r="D57" s="41"/>
      <c r="E57" s="49"/>
      <c r="F57" s="43"/>
      <c r="G57" s="25"/>
    </row>
    <row r="58" spans="1:7" ht="12.75">
      <c r="A58" s="39" t="s">
        <v>73</v>
      </c>
      <c r="B58" s="30" t="s">
        <v>81</v>
      </c>
      <c r="C58" s="30" t="s">
        <v>74</v>
      </c>
      <c r="D58" s="30" t="s">
        <v>83</v>
      </c>
      <c r="E58" s="48" t="s">
        <v>75</v>
      </c>
      <c r="F58" s="25"/>
      <c r="G58" s="25"/>
    </row>
    <row r="59" spans="1:7" ht="12.75">
      <c r="A59" s="25"/>
      <c r="B59" s="26" t="s">
        <v>59</v>
      </c>
      <c r="C59" s="26" t="s">
        <v>56</v>
      </c>
      <c r="D59" s="30" t="s">
        <v>82</v>
      </c>
      <c r="E59" s="26" t="s">
        <v>60</v>
      </c>
      <c r="F59" s="25"/>
      <c r="G59" s="25"/>
    </row>
    <row r="60" spans="1:7" ht="12.75">
      <c r="A60" s="25"/>
      <c r="B60" s="44">
        <f>B10</f>
        <v>1200</v>
      </c>
      <c r="C60" s="40">
        <f>B13</f>
        <v>6.69</v>
      </c>
      <c r="D60" s="40">
        <f>1-B11</f>
        <v>0.5</v>
      </c>
      <c r="E60" s="45">
        <f>(B60*C60*D60)/2000</f>
        <v>2.007</v>
      </c>
      <c r="F60" s="43" t="s">
        <v>77</v>
      </c>
      <c r="G60" s="25"/>
    </row>
    <row r="61" spans="1:7" ht="12.75">
      <c r="A61" s="25"/>
      <c r="B61" s="44"/>
      <c r="C61" s="40"/>
      <c r="D61" s="40"/>
      <c r="E61" s="45"/>
      <c r="F61" s="43"/>
      <c r="G61" s="25"/>
    </row>
    <row r="62" spans="1:7" ht="12.75">
      <c r="A62" s="25"/>
      <c r="B62" s="44"/>
      <c r="C62" s="40"/>
      <c r="D62" s="46"/>
      <c r="E62" s="26" t="s">
        <v>54</v>
      </c>
      <c r="F62" s="43"/>
      <c r="G62" s="25"/>
    </row>
    <row r="63" spans="1:7" ht="12.75">
      <c r="A63" s="25"/>
      <c r="B63" s="44"/>
      <c r="C63" s="95" t="s">
        <v>88</v>
      </c>
      <c r="D63" s="50" t="s">
        <v>252</v>
      </c>
      <c r="E63" s="26" t="s">
        <v>60</v>
      </c>
      <c r="F63" s="43"/>
      <c r="G63" s="25"/>
    </row>
    <row r="64" spans="1:7" ht="12.75">
      <c r="A64" s="25"/>
      <c r="B64" s="44"/>
      <c r="C64" s="170" t="s">
        <v>232</v>
      </c>
      <c r="D64" s="40">
        <f>B30</f>
        <v>0.42</v>
      </c>
      <c r="E64" s="45">
        <f>D64*E60</f>
        <v>0.84294</v>
      </c>
      <c r="F64" s="43" t="s">
        <v>77</v>
      </c>
      <c r="G64" s="25"/>
    </row>
    <row r="65" spans="1:7" ht="12.75">
      <c r="A65" s="25"/>
      <c r="B65" s="44"/>
      <c r="C65" s="170" t="s">
        <v>237</v>
      </c>
      <c r="D65" s="40">
        <f>B31</f>
        <v>0.46</v>
      </c>
      <c r="E65" s="45">
        <f>D65*E60</f>
        <v>0.92322</v>
      </c>
      <c r="F65" s="43" t="s">
        <v>77</v>
      </c>
      <c r="G65" s="25"/>
    </row>
    <row r="66" spans="1:7" ht="12.75">
      <c r="A66" s="25"/>
      <c r="B66" s="25"/>
      <c r="C66" s="170" t="s">
        <v>249</v>
      </c>
      <c r="D66" s="40">
        <f>B32</f>
        <v>0.12</v>
      </c>
      <c r="E66" s="45">
        <f>D66*E60</f>
        <v>0.24084</v>
      </c>
      <c r="F66" s="43" t="s">
        <v>77</v>
      </c>
      <c r="G66" s="25"/>
    </row>
    <row r="68" ht="15.75">
      <c r="A68" s="143" t="s">
        <v>72</v>
      </c>
    </row>
    <row r="69" spans="1:7" ht="15.75">
      <c r="A69" s="144" t="s">
        <v>190</v>
      </c>
      <c r="B69" s="30" t="s">
        <v>81</v>
      </c>
      <c r="C69" s="30" t="s">
        <v>193</v>
      </c>
      <c r="D69" s="30" t="s">
        <v>83</v>
      </c>
      <c r="E69" s="30" t="s">
        <v>191</v>
      </c>
      <c r="F69" s="30" t="s">
        <v>195</v>
      </c>
      <c r="G69" s="26"/>
    </row>
    <row r="70" spans="2:7" ht="12.75">
      <c r="B70" s="26" t="s">
        <v>55</v>
      </c>
      <c r="C70" s="26" t="s">
        <v>56</v>
      </c>
      <c r="D70" s="30" t="s">
        <v>82</v>
      </c>
      <c r="E70" s="30" t="s">
        <v>192</v>
      </c>
      <c r="F70" s="26" t="s">
        <v>57</v>
      </c>
      <c r="G70" s="26"/>
    </row>
    <row r="71" spans="1:7" ht="12.75">
      <c r="A71" s="142" t="s">
        <v>180</v>
      </c>
      <c r="B71" s="46">
        <f>B17</f>
        <v>4</v>
      </c>
      <c r="C71" s="40">
        <f>B22</f>
        <v>8.2</v>
      </c>
      <c r="D71" s="95">
        <f>1-B19</f>
        <v>0.09999999999999998</v>
      </c>
      <c r="E71" s="81">
        <f>B25</f>
        <v>73</v>
      </c>
      <c r="F71" s="42">
        <f>B71*C71*D71*E71/100</f>
        <v>2.394399999999999</v>
      </c>
      <c r="G71" s="43" t="s">
        <v>64</v>
      </c>
    </row>
    <row r="72" spans="1:7" ht="12.75">
      <c r="A72" s="142" t="s">
        <v>181</v>
      </c>
      <c r="B72" s="46">
        <f>B17</f>
        <v>4</v>
      </c>
      <c r="C72" s="40">
        <f>B22</f>
        <v>8.2</v>
      </c>
      <c r="D72" s="95">
        <f>1-B19</f>
        <v>0.09999999999999998</v>
      </c>
      <c r="E72" s="81">
        <f>B26</f>
        <v>27</v>
      </c>
      <c r="F72" s="42">
        <f>B72*C72*D72*E72/100</f>
        <v>0.8855999999999997</v>
      </c>
      <c r="G72" s="43" t="s">
        <v>64</v>
      </c>
    </row>
    <row r="73" spans="1:7" ht="12.75">
      <c r="A73" s="142" t="s">
        <v>182</v>
      </c>
      <c r="B73" s="81">
        <f>B17</f>
        <v>4</v>
      </c>
      <c r="C73" s="98">
        <f>B22</f>
        <v>8.2</v>
      </c>
      <c r="D73" s="95">
        <f>1-B19</f>
        <v>0.09999999999999998</v>
      </c>
      <c r="E73" s="81">
        <f>B27</f>
        <v>25</v>
      </c>
      <c r="F73" s="42">
        <f>B73*C73*D73*E73/100</f>
        <v>0.8199999999999997</v>
      </c>
      <c r="G73" s="43" t="s">
        <v>64</v>
      </c>
    </row>
    <row r="74" ht="12.75">
      <c r="E74" s="75"/>
    </row>
    <row r="75" ht="12.75">
      <c r="E75" s="75"/>
    </row>
  </sheetData>
  <mergeCells count="5"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landscape" scale="64" r:id="rId1"/>
  <headerFooter alignWithMargins="0">
    <oddFooter>&amp;LOK INDUSTRIAL COMPOSITES EMISSION CALCULATIONS.XLS&amp;RPRINTED ON RECYCLED PAPER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A1" sqref="A1:G1"/>
    </sheetView>
  </sheetViews>
  <sheetFormatPr defaultColWidth="9.140625" defaultRowHeight="12.75"/>
  <cols>
    <col min="1" max="1" width="51.7109375" style="0" customWidth="1"/>
    <col min="2" max="2" width="23.421875" style="0" customWidth="1"/>
    <col min="3" max="3" width="24.8515625" style="0" customWidth="1"/>
    <col min="4" max="4" width="25.00390625" style="0" customWidth="1"/>
    <col min="5" max="5" width="19.421875" style="0" customWidth="1"/>
    <col min="6" max="6" width="15.7109375" style="0" customWidth="1"/>
    <col min="7" max="7" width="22.7109375" style="0" customWidth="1"/>
    <col min="8" max="8" width="15.7109375" style="0" customWidth="1"/>
  </cols>
  <sheetData>
    <row r="1" spans="1:7" ht="18">
      <c r="A1" s="226" t="s">
        <v>114</v>
      </c>
      <c r="B1" s="226"/>
      <c r="C1" s="226"/>
      <c r="D1" s="226"/>
      <c r="E1" s="226"/>
      <c r="F1" s="226"/>
      <c r="G1" s="226"/>
    </row>
    <row r="2" spans="1:7" ht="18">
      <c r="A2" s="225" t="s">
        <v>206</v>
      </c>
      <c r="B2" s="225"/>
      <c r="C2" s="225"/>
      <c r="D2" s="225"/>
      <c r="E2" s="225"/>
      <c r="F2" s="225"/>
      <c r="G2" s="225"/>
    </row>
    <row r="3" spans="1:7" ht="18">
      <c r="A3" s="225" t="s">
        <v>205</v>
      </c>
      <c r="B3" s="225"/>
      <c r="C3" s="225"/>
      <c r="D3" s="225"/>
      <c r="E3" s="225"/>
      <c r="F3" s="225"/>
      <c r="G3" s="225"/>
    </row>
    <row r="4" spans="1:7" ht="18">
      <c r="A4" s="227" t="s">
        <v>84</v>
      </c>
      <c r="B4" s="227"/>
      <c r="C4" s="227"/>
      <c r="D4" s="227"/>
      <c r="E4" s="227"/>
      <c r="F4" s="227"/>
      <c r="G4" s="227"/>
    </row>
    <row r="5" spans="1:7" ht="18">
      <c r="A5" s="225" t="s">
        <v>85</v>
      </c>
      <c r="B5" s="225"/>
      <c r="C5" s="225"/>
      <c r="D5" s="225"/>
      <c r="E5" s="225"/>
      <c r="F5" s="225"/>
      <c r="G5" s="225"/>
    </row>
    <row r="6" spans="1:7" ht="18">
      <c r="A6" s="38"/>
      <c r="B6" s="38"/>
      <c r="C6" s="38"/>
      <c r="D6" s="38"/>
      <c r="E6" s="38"/>
      <c r="F6" s="38"/>
      <c r="G6" s="38"/>
    </row>
    <row r="7" spans="1:7" ht="18">
      <c r="A7" s="38" t="s">
        <v>207</v>
      </c>
      <c r="B7" s="38"/>
      <c r="C7" s="38"/>
      <c r="D7" s="38"/>
      <c r="E7" s="38"/>
      <c r="F7" s="38"/>
      <c r="G7" s="38"/>
    </row>
    <row r="8" spans="1:4" ht="12.75">
      <c r="A8" s="24" t="s">
        <v>29</v>
      </c>
      <c r="B8" s="24" t="s">
        <v>30</v>
      </c>
      <c r="C8" s="24" t="s">
        <v>31</v>
      </c>
      <c r="D8" s="24" t="s">
        <v>32</v>
      </c>
    </row>
    <row r="9" spans="1:4" ht="12.75">
      <c r="A9" s="28" t="s">
        <v>196</v>
      </c>
      <c r="B9" s="146">
        <v>1350</v>
      </c>
      <c r="C9" s="30" t="s">
        <v>64</v>
      </c>
      <c r="D9" s="28" t="s">
        <v>227</v>
      </c>
    </row>
    <row r="10" spans="1:4" ht="12.75">
      <c r="A10" s="28" t="s">
        <v>197</v>
      </c>
      <c r="B10" s="150">
        <v>0.0078</v>
      </c>
      <c r="C10" s="30" t="s">
        <v>198</v>
      </c>
      <c r="D10" s="28" t="s">
        <v>227</v>
      </c>
    </row>
    <row r="11" spans="1:4" ht="12.75">
      <c r="A11" s="28" t="s">
        <v>109</v>
      </c>
      <c r="B11" s="151">
        <v>0.99</v>
      </c>
      <c r="C11" s="26" t="s">
        <v>94</v>
      </c>
      <c r="D11" s="28" t="s">
        <v>108</v>
      </c>
    </row>
    <row r="12" spans="1:4" ht="12.75">
      <c r="A12" s="28" t="s">
        <v>110</v>
      </c>
      <c r="B12" s="152">
        <v>1300</v>
      </c>
      <c r="C12" s="30" t="s">
        <v>111</v>
      </c>
      <c r="D12" s="28" t="s">
        <v>227</v>
      </c>
    </row>
    <row r="13" ht="12.75">
      <c r="A13" s="63"/>
    </row>
    <row r="14" ht="15.75">
      <c r="A14" s="37" t="s">
        <v>101</v>
      </c>
    </row>
    <row r="15" spans="1:6" ht="12.75">
      <c r="A15" s="39" t="s">
        <v>95</v>
      </c>
      <c r="B15" s="30" t="s">
        <v>199</v>
      </c>
      <c r="C15" s="30" t="s">
        <v>63</v>
      </c>
      <c r="D15" s="26" t="s">
        <v>96</v>
      </c>
      <c r="E15" s="26" t="s">
        <v>97</v>
      </c>
      <c r="F15" s="25"/>
    </row>
    <row r="16" spans="1:6" ht="12.75">
      <c r="A16" s="25"/>
      <c r="B16" s="30" t="s">
        <v>65</v>
      </c>
      <c r="C16" s="30" t="s">
        <v>82</v>
      </c>
      <c r="D16" s="26" t="s">
        <v>99</v>
      </c>
      <c r="E16" s="26" t="s">
        <v>57</v>
      </c>
      <c r="F16" s="25"/>
    </row>
    <row r="17" spans="1:6" ht="12.75">
      <c r="A17" s="25"/>
      <c r="B17" s="40">
        <f>B9</f>
        <v>1350</v>
      </c>
      <c r="C17" s="145">
        <f>B10</f>
        <v>0.0078</v>
      </c>
      <c r="D17" s="41">
        <f>1-B11</f>
        <v>0.010000000000000009</v>
      </c>
      <c r="E17" s="45">
        <f>B17*C17*D17</f>
        <v>0.10530000000000009</v>
      </c>
      <c r="F17" s="62" t="s">
        <v>98</v>
      </c>
    </row>
    <row r="19" ht="15.75">
      <c r="A19" s="37" t="s">
        <v>51</v>
      </c>
    </row>
    <row r="20" spans="1:6" ht="12.75">
      <c r="A20" s="39" t="s">
        <v>95</v>
      </c>
      <c r="B20" s="30" t="s">
        <v>200</v>
      </c>
      <c r="C20" t="s">
        <v>112</v>
      </c>
      <c r="D20" s="68" t="s">
        <v>141</v>
      </c>
      <c r="E20" s="26" t="s">
        <v>97</v>
      </c>
      <c r="F20" s="25"/>
    </row>
    <row r="21" spans="1:6" ht="12.75">
      <c r="A21" s="25"/>
      <c r="B21" s="30" t="s">
        <v>65</v>
      </c>
      <c r="C21" s="75" t="s">
        <v>113</v>
      </c>
      <c r="D21" s="47" t="s">
        <v>142</v>
      </c>
      <c r="E21" s="26" t="s">
        <v>60</v>
      </c>
      <c r="F21" s="25"/>
    </row>
    <row r="22" spans="1:6" ht="12.75">
      <c r="A22" s="25"/>
      <c r="B22" s="76">
        <f>E17</f>
        <v>0.10530000000000009</v>
      </c>
      <c r="C22" s="77">
        <f>B12</f>
        <v>1300</v>
      </c>
      <c r="D22" s="75">
        <f>1/2000</f>
        <v>0.0005</v>
      </c>
      <c r="E22" s="45">
        <f>B22*C22*D22</f>
        <v>0.06844500000000006</v>
      </c>
      <c r="F22" s="62" t="s">
        <v>100</v>
      </c>
    </row>
    <row r="23" spans="1:8" ht="12.75">
      <c r="A23" s="25"/>
      <c r="B23" s="25"/>
      <c r="C23" s="25"/>
      <c r="D23" s="41"/>
      <c r="F23" s="25"/>
      <c r="G23" s="25"/>
      <c r="H23" s="25"/>
    </row>
    <row r="25" spans="1:6" ht="18">
      <c r="A25" s="38" t="s">
        <v>208</v>
      </c>
      <c r="B25" s="38"/>
      <c r="C25" s="38"/>
      <c r="D25" s="38"/>
      <c r="E25" s="38"/>
      <c r="F25" s="38"/>
    </row>
    <row r="26" spans="1:4" ht="12.75">
      <c r="A26" s="24" t="s">
        <v>29</v>
      </c>
      <c r="B26" s="24" t="s">
        <v>30</v>
      </c>
      <c r="C26" s="24" t="s">
        <v>31</v>
      </c>
      <c r="D26" s="24" t="s">
        <v>32</v>
      </c>
    </row>
    <row r="27" spans="1:4" ht="12.75">
      <c r="A27" s="28" t="s">
        <v>196</v>
      </c>
      <c r="B27" s="146">
        <v>3100</v>
      </c>
      <c r="C27" s="30" t="s">
        <v>64</v>
      </c>
      <c r="D27" s="28" t="s">
        <v>227</v>
      </c>
    </row>
    <row r="28" spans="1:4" ht="12.75">
      <c r="A28" s="28" t="s">
        <v>197</v>
      </c>
      <c r="B28" s="150">
        <v>0.0078</v>
      </c>
      <c r="C28" s="30" t="s">
        <v>198</v>
      </c>
      <c r="D28" s="28" t="s">
        <v>227</v>
      </c>
    </row>
    <row r="29" spans="1:4" ht="12.75">
      <c r="A29" s="28" t="s">
        <v>109</v>
      </c>
      <c r="B29" s="151">
        <v>0.99</v>
      </c>
      <c r="C29" s="26" t="s">
        <v>94</v>
      </c>
      <c r="D29" s="28" t="s">
        <v>108</v>
      </c>
    </row>
    <row r="30" spans="1:4" ht="12.75">
      <c r="A30" s="28" t="s">
        <v>110</v>
      </c>
      <c r="B30" s="152">
        <v>750</v>
      </c>
      <c r="C30" s="30" t="s">
        <v>111</v>
      </c>
      <c r="D30" s="28" t="s">
        <v>227</v>
      </c>
    </row>
    <row r="31" ht="12.75">
      <c r="A31" s="63"/>
    </row>
    <row r="32" ht="15.75">
      <c r="A32" s="37" t="s">
        <v>101</v>
      </c>
    </row>
    <row r="33" spans="1:6" ht="12.75">
      <c r="A33" s="39" t="s">
        <v>95</v>
      </c>
      <c r="B33" s="30" t="s">
        <v>199</v>
      </c>
      <c r="C33" s="30" t="s">
        <v>63</v>
      </c>
      <c r="D33" s="26" t="s">
        <v>96</v>
      </c>
      <c r="E33" s="26" t="s">
        <v>97</v>
      </c>
      <c r="F33" s="25"/>
    </row>
    <row r="34" spans="1:6" ht="12.75">
      <c r="A34" s="25"/>
      <c r="B34" s="30" t="s">
        <v>65</v>
      </c>
      <c r="C34" s="30" t="s">
        <v>82</v>
      </c>
      <c r="D34" s="26" t="s">
        <v>99</v>
      </c>
      <c r="E34" s="26" t="s">
        <v>57</v>
      </c>
      <c r="F34" s="25"/>
    </row>
    <row r="35" spans="1:6" ht="12.75">
      <c r="A35" s="25"/>
      <c r="B35" s="40">
        <f>B27</f>
        <v>3100</v>
      </c>
      <c r="C35" s="145">
        <f>B28</f>
        <v>0.0078</v>
      </c>
      <c r="D35" s="41">
        <f>1-B29</f>
        <v>0.010000000000000009</v>
      </c>
      <c r="E35" s="45">
        <f>B35*C35*D35</f>
        <v>0.2418000000000002</v>
      </c>
      <c r="F35" s="62" t="s">
        <v>98</v>
      </c>
    </row>
    <row r="37" ht="15.75">
      <c r="A37" s="37" t="s">
        <v>51</v>
      </c>
    </row>
    <row r="38" spans="1:6" ht="12.75">
      <c r="A38" s="39" t="s">
        <v>95</v>
      </c>
      <c r="B38" s="30" t="s">
        <v>200</v>
      </c>
      <c r="C38" t="s">
        <v>112</v>
      </c>
      <c r="D38" s="68" t="s">
        <v>141</v>
      </c>
      <c r="E38" s="26" t="s">
        <v>97</v>
      </c>
      <c r="F38" s="25"/>
    </row>
    <row r="39" spans="1:6" ht="12.75">
      <c r="A39" s="25"/>
      <c r="B39" s="30" t="s">
        <v>65</v>
      </c>
      <c r="C39" s="75" t="s">
        <v>113</v>
      </c>
      <c r="D39" s="47" t="s">
        <v>142</v>
      </c>
      <c r="E39" s="26" t="s">
        <v>60</v>
      </c>
      <c r="F39" s="25"/>
    </row>
    <row r="40" spans="1:6" ht="12.75">
      <c r="A40" s="25"/>
      <c r="B40" s="76">
        <f>E35</f>
        <v>0.2418000000000002</v>
      </c>
      <c r="C40" s="77">
        <f>B30</f>
        <v>750</v>
      </c>
      <c r="D40" s="75">
        <f>1/2000</f>
        <v>0.0005</v>
      </c>
      <c r="E40" s="45">
        <f>B40*C40*D40</f>
        <v>0.09067500000000009</v>
      </c>
      <c r="F40" s="62" t="s">
        <v>100</v>
      </c>
    </row>
    <row r="43" spans="1:6" ht="18">
      <c r="A43" s="38" t="s">
        <v>209</v>
      </c>
      <c r="B43" s="38"/>
      <c r="C43" s="38"/>
      <c r="D43" s="38"/>
      <c r="E43" s="38"/>
      <c r="F43" s="38"/>
    </row>
    <row r="44" spans="1:4" ht="12.75">
      <c r="A44" s="24" t="s">
        <v>29</v>
      </c>
      <c r="B44" s="24" t="s">
        <v>30</v>
      </c>
      <c r="C44" s="24" t="s">
        <v>31</v>
      </c>
      <c r="D44" s="24" t="s">
        <v>32</v>
      </c>
    </row>
    <row r="45" spans="1:4" ht="12.75">
      <c r="A45" s="28" t="s">
        <v>196</v>
      </c>
      <c r="B45" s="146">
        <v>300</v>
      </c>
      <c r="C45" s="30" t="s">
        <v>64</v>
      </c>
      <c r="D45" s="28" t="s">
        <v>227</v>
      </c>
    </row>
    <row r="46" spans="1:4" ht="12.75">
      <c r="A46" s="28" t="s">
        <v>197</v>
      </c>
      <c r="B46" s="150">
        <v>0.0078</v>
      </c>
      <c r="C46" s="30" t="s">
        <v>198</v>
      </c>
      <c r="D46" s="28" t="s">
        <v>227</v>
      </c>
    </row>
    <row r="47" spans="1:4" ht="12.75">
      <c r="A47" s="28" t="s">
        <v>109</v>
      </c>
      <c r="B47" s="151">
        <v>0.99</v>
      </c>
      <c r="C47" s="26" t="s">
        <v>94</v>
      </c>
      <c r="D47" s="28" t="s">
        <v>108</v>
      </c>
    </row>
    <row r="48" spans="1:4" ht="12.75">
      <c r="A48" s="28" t="s">
        <v>110</v>
      </c>
      <c r="B48" s="152">
        <v>1100</v>
      </c>
      <c r="C48" s="30" t="s">
        <v>111</v>
      </c>
      <c r="D48" s="28" t="s">
        <v>227</v>
      </c>
    </row>
    <row r="49" ht="12.75">
      <c r="A49" s="63"/>
    </row>
    <row r="50" ht="15.75">
      <c r="A50" s="37" t="s">
        <v>101</v>
      </c>
    </row>
    <row r="51" spans="1:6" ht="12.75">
      <c r="A51" s="39" t="s">
        <v>95</v>
      </c>
      <c r="B51" s="30" t="s">
        <v>199</v>
      </c>
      <c r="C51" s="30" t="s">
        <v>63</v>
      </c>
      <c r="D51" s="26" t="s">
        <v>96</v>
      </c>
      <c r="E51" s="26" t="s">
        <v>97</v>
      </c>
      <c r="F51" s="25"/>
    </row>
    <row r="52" spans="1:6" ht="12.75">
      <c r="A52" s="25"/>
      <c r="B52" s="30" t="s">
        <v>65</v>
      </c>
      <c r="C52" s="30" t="s">
        <v>82</v>
      </c>
      <c r="D52" s="26" t="s">
        <v>99</v>
      </c>
      <c r="E52" s="26" t="s">
        <v>57</v>
      </c>
      <c r="F52" s="25"/>
    </row>
    <row r="53" spans="1:6" ht="12.75">
      <c r="A53" s="25"/>
      <c r="B53" s="40">
        <f>B45</f>
        <v>300</v>
      </c>
      <c r="C53" s="145">
        <f>B46</f>
        <v>0.0078</v>
      </c>
      <c r="D53" s="41">
        <f>1-B47</f>
        <v>0.010000000000000009</v>
      </c>
      <c r="E53" s="45">
        <f>B53*C53*D53</f>
        <v>0.023400000000000018</v>
      </c>
      <c r="F53" s="62" t="s">
        <v>98</v>
      </c>
    </row>
    <row r="55" ht="15.75">
      <c r="A55" s="37" t="s">
        <v>51</v>
      </c>
    </row>
    <row r="56" spans="1:6" ht="12.75">
      <c r="A56" s="39" t="s">
        <v>95</v>
      </c>
      <c r="B56" s="30" t="s">
        <v>200</v>
      </c>
      <c r="C56" t="s">
        <v>112</v>
      </c>
      <c r="D56" s="68" t="s">
        <v>141</v>
      </c>
      <c r="E56" s="26" t="s">
        <v>97</v>
      </c>
      <c r="F56" s="25"/>
    </row>
    <row r="57" spans="1:6" ht="12.75">
      <c r="A57" s="25"/>
      <c r="B57" s="30" t="s">
        <v>65</v>
      </c>
      <c r="C57" s="75" t="s">
        <v>113</v>
      </c>
      <c r="D57" s="47" t="s">
        <v>142</v>
      </c>
      <c r="E57" s="26" t="s">
        <v>60</v>
      </c>
      <c r="F57" s="25"/>
    </row>
    <row r="58" spans="1:6" ht="12.75">
      <c r="A58" s="25"/>
      <c r="B58" s="76">
        <f>E53</f>
        <v>0.023400000000000018</v>
      </c>
      <c r="C58" s="77">
        <f>B48</f>
        <v>1100</v>
      </c>
      <c r="D58" s="75">
        <f>1/2000</f>
        <v>0.0005</v>
      </c>
      <c r="E58" s="45">
        <f>B58*C58*D58</f>
        <v>0.01287000000000001</v>
      </c>
      <c r="F58" s="62" t="s">
        <v>100</v>
      </c>
    </row>
  </sheetData>
  <mergeCells count="5"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landscape" scale="59" r:id="rId1"/>
  <headerFooter alignWithMargins="0">
    <oddFooter>&amp;LOK INDUSTRIAL COMPOSITES EMISSION CALCULATIONS.XLS&amp;RPRINTED ON RECYCLED PAPER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workbookViewId="0" topLeftCell="A1">
      <selection activeCell="A1" sqref="A1:J1"/>
    </sheetView>
  </sheetViews>
  <sheetFormatPr defaultColWidth="9.140625" defaultRowHeight="12.75"/>
  <cols>
    <col min="1" max="1" width="37.140625" style="0" customWidth="1"/>
    <col min="2" max="3" width="20.7109375" style="0" customWidth="1"/>
    <col min="4" max="4" width="22.00390625" style="0" customWidth="1"/>
    <col min="5" max="5" width="20.7109375" style="0" customWidth="1"/>
    <col min="6" max="6" width="19.28125" style="0" customWidth="1"/>
    <col min="7" max="7" width="22.00390625" style="0" customWidth="1"/>
    <col min="8" max="9" width="20.7109375" style="0" customWidth="1"/>
    <col min="10" max="10" width="22.57421875" style="0" customWidth="1"/>
    <col min="11" max="11" width="20.7109375" style="0" customWidth="1"/>
  </cols>
  <sheetData>
    <row r="1" spans="1:10" ht="18">
      <c r="A1" s="226" t="s">
        <v>4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8">
      <c r="A2" s="225" t="s">
        <v>206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8">
      <c r="A3" s="225" t="s">
        <v>205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8">
      <c r="A4" s="227" t="s">
        <v>37</v>
      </c>
      <c r="B4" s="227"/>
      <c r="C4" s="227"/>
      <c r="D4" s="227"/>
      <c r="E4" s="227"/>
      <c r="F4" s="227"/>
      <c r="G4" s="227"/>
      <c r="H4" s="227"/>
      <c r="I4" s="227"/>
      <c r="J4" s="227"/>
    </row>
    <row r="5" spans="1:10" ht="18">
      <c r="A5" s="225" t="s">
        <v>115</v>
      </c>
      <c r="B5" s="225"/>
      <c r="C5" s="225"/>
      <c r="D5" s="225"/>
      <c r="E5" s="225"/>
      <c r="F5" s="225"/>
      <c r="G5" s="225"/>
      <c r="H5" s="225"/>
      <c r="I5" s="225"/>
      <c r="J5" s="225"/>
    </row>
    <row r="6" spans="1:10" ht="18">
      <c r="A6" s="38"/>
      <c r="B6" s="38"/>
      <c r="C6" s="38"/>
      <c r="D6" s="38"/>
      <c r="E6" s="38"/>
      <c r="F6" s="38"/>
      <c r="G6" s="38"/>
      <c r="H6" s="38"/>
      <c r="I6" s="38"/>
      <c r="J6" s="38"/>
    </row>
    <row r="8" spans="2:10" ht="18.75" thickBot="1">
      <c r="B8" s="225" t="s">
        <v>262</v>
      </c>
      <c r="C8" s="225"/>
      <c r="D8" s="225"/>
      <c r="E8" s="225" t="s">
        <v>263</v>
      </c>
      <c r="F8" s="225"/>
      <c r="G8" s="225"/>
      <c r="H8" s="225" t="s">
        <v>264</v>
      </c>
      <c r="I8" s="225"/>
      <c r="J8" s="225"/>
    </row>
    <row r="9" spans="1:10" ht="16.5" thickBot="1">
      <c r="A9" s="197" t="s">
        <v>29</v>
      </c>
      <c r="B9" s="209" t="s">
        <v>30</v>
      </c>
      <c r="C9" s="217" t="s">
        <v>31</v>
      </c>
      <c r="D9" s="211" t="s">
        <v>32</v>
      </c>
      <c r="E9" s="210" t="s">
        <v>30</v>
      </c>
      <c r="F9" s="217" t="s">
        <v>31</v>
      </c>
      <c r="G9" s="211" t="s">
        <v>32</v>
      </c>
      <c r="H9" s="210" t="s">
        <v>30</v>
      </c>
      <c r="I9" s="217" t="s">
        <v>31</v>
      </c>
      <c r="J9" s="212" t="s">
        <v>32</v>
      </c>
    </row>
    <row r="10" spans="1:10" ht="12.75">
      <c r="A10" s="24"/>
      <c r="B10" s="186"/>
      <c r="C10" s="213"/>
      <c r="D10" s="203"/>
      <c r="E10" s="187"/>
      <c r="F10" s="218"/>
      <c r="G10" s="203"/>
      <c r="H10" s="187"/>
      <c r="I10" s="218"/>
      <c r="J10" s="188"/>
    </row>
    <row r="11" spans="1:10" ht="15.75">
      <c r="A11" s="79" t="s">
        <v>124</v>
      </c>
      <c r="B11" s="192">
        <v>6000</v>
      </c>
      <c r="C11" s="214" t="s">
        <v>33</v>
      </c>
      <c r="D11" s="204" t="s">
        <v>227</v>
      </c>
      <c r="E11" s="198">
        <v>6000</v>
      </c>
      <c r="F11" s="214" t="s">
        <v>33</v>
      </c>
      <c r="G11" s="204" t="s">
        <v>227</v>
      </c>
      <c r="H11" s="198">
        <v>6000</v>
      </c>
      <c r="I11" s="214" t="s">
        <v>33</v>
      </c>
      <c r="J11" s="189" t="s">
        <v>227</v>
      </c>
    </row>
    <row r="12" spans="1:10" ht="15.75">
      <c r="A12" s="79" t="s">
        <v>125</v>
      </c>
      <c r="B12" s="192">
        <v>8000</v>
      </c>
      <c r="C12" s="214" t="s">
        <v>116</v>
      </c>
      <c r="D12" s="204" t="s">
        <v>227</v>
      </c>
      <c r="E12" s="198">
        <v>8000</v>
      </c>
      <c r="F12" s="214" t="s">
        <v>116</v>
      </c>
      <c r="G12" s="204" t="s">
        <v>227</v>
      </c>
      <c r="H12" s="198">
        <v>8000</v>
      </c>
      <c r="I12" s="214" t="s">
        <v>116</v>
      </c>
      <c r="J12" s="189" t="s">
        <v>227</v>
      </c>
    </row>
    <row r="13" spans="1:10" ht="12.75">
      <c r="A13" s="79" t="s">
        <v>126</v>
      </c>
      <c r="B13" s="193">
        <v>22</v>
      </c>
      <c r="C13" s="214" t="s">
        <v>117</v>
      </c>
      <c r="D13" s="204" t="s">
        <v>227</v>
      </c>
      <c r="E13" s="199">
        <v>100</v>
      </c>
      <c r="F13" s="214" t="s">
        <v>117</v>
      </c>
      <c r="G13" s="204" t="s">
        <v>227</v>
      </c>
      <c r="H13" s="199">
        <v>5</v>
      </c>
      <c r="I13" s="214" t="s">
        <v>117</v>
      </c>
      <c r="J13" s="189" t="s">
        <v>227</v>
      </c>
    </row>
    <row r="14" spans="1:10" ht="15.75">
      <c r="A14" s="79" t="s">
        <v>127</v>
      </c>
      <c r="B14" s="194">
        <v>2.9</v>
      </c>
      <c r="C14" s="214" t="s">
        <v>121</v>
      </c>
      <c r="D14" s="205" t="s">
        <v>118</v>
      </c>
      <c r="E14" s="200">
        <v>4.64</v>
      </c>
      <c r="F14" s="214" t="s">
        <v>121</v>
      </c>
      <c r="G14" s="205" t="s">
        <v>118</v>
      </c>
      <c r="H14" s="200">
        <v>1.07</v>
      </c>
      <c r="I14" s="214" t="s">
        <v>121</v>
      </c>
      <c r="J14" s="190" t="s">
        <v>118</v>
      </c>
    </row>
    <row r="15" spans="1:10" ht="12.75">
      <c r="A15" s="79" t="s">
        <v>119</v>
      </c>
      <c r="B15" s="193">
        <v>12</v>
      </c>
      <c r="C15" s="214" t="s">
        <v>120</v>
      </c>
      <c r="D15" s="204" t="s">
        <v>227</v>
      </c>
      <c r="E15" s="199">
        <v>12</v>
      </c>
      <c r="F15" s="214" t="s">
        <v>120</v>
      </c>
      <c r="G15" s="204" t="s">
        <v>227</v>
      </c>
      <c r="H15" s="199">
        <v>12</v>
      </c>
      <c r="I15" s="214" t="s">
        <v>120</v>
      </c>
      <c r="J15" s="189" t="s">
        <v>227</v>
      </c>
    </row>
    <row r="16" spans="1:10" ht="12.75">
      <c r="A16" s="79"/>
      <c r="B16" s="193"/>
      <c r="C16" s="214"/>
      <c r="D16" s="205"/>
      <c r="E16" s="199"/>
      <c r="F16" s="214"/>
      <c r="G16" s="205"/>
      <c r="H16" s="199"/>
      <c r="I16" s="214"/>
      <c r="J16" s="190"/>
    </row>
    <row r="17" spans="1:10" ht="12.75">
      <c r="A17" s="66" t="s">
        <v>270</v>
      </c>
      <c r="B17" s="193"/>
      <c r="C17" s="214"/>
      <c r="D17" s="205"/>
      <c r="E17" s="199"/>
      <c r="F17" s="214"/>
      <c r="G17" s="205"/>
      <c r="H17" s="199"/>
      <c r="I17" s="214"/>
      <c r="J17" s="190"/>
    </row>
    <row r="18" spans="1:10" ht="12.75">
      <c r="A18" s="78" t="s">
        <v>103</v>
      </c>
      <c r="B18" s="193">
        <v>35</v>
      </c>
      <c r="C18" s="215" t="s">
        <v>188</v>
      </c>
      <c r="D18" s="204" t="s">
        <v>38</v>
      </c>
      <c r="E18" s="199">
        <v>40</v>
      </c>
      <c r="F18" s="215" t="s">
        <v>188</v>
      </c>
      <c r="G18" s="204" t="s">
        <v>38</v>
      </c>
      <c r="H18" s="199">
        <v>39</v>
      </c>
      <c r="I18" s="215" t="s">
        <v>188</v>
      </c>
      <c r="J18" s="189" t="s">
        <v>38</v>
      </c>
    </row>
    <row r="19" spans="1:11" ht="12.75">
      <c r="A19" s="78" t="s">
        <v>267</v>
      </c>
      <c r="B19" s="193">
        <v>3</v>
      </c>
      <c r="C19" s="215" t="s">
        <v>188</v>
      </c>
      <c r="D19" s="204" t="s">
        <v>38</v>
      </c>
      <c r="E19" s="199">
        <v>5</v>
      </c>
      <c r="F19" s="215" t="s">
        <v>188</v>
      </c>
      <c r="G19" s="204" t="s">
        <v>38</v>
      </c>
      <c r="H19" s="199">
        <v>0</v>
      </c>
      <c r="I19" s="215" t="s">
        <v>188</v>
      </c>
      <c r="J19" s="189" t="s">
        <v>38</v>
      </c>
      <c r="K19" s="208"/>
    </row>
    <row r="20" spans="1:11" ht="12.75">
      <c r="A20" s="78" t="s">
        <v>177</v>
      </c>
      <c r="B20" s="193">
        <v>0</v>
      </c>
      <c r="C20" s="215" t="s">
        <v>188</v>
      </c>
      <c r="D20" s="204" t="s">
        <v>38</v>
      </c>
      <c r="E20" s="199">
        <v>0</v>
      </c>
      <c r="F20" s="215" t="s">
        <v>188</v>
      </c>
      <c r="G20" s="204" t="s">
        <v>38</v>
      </c>
      <c r="H20" s="199">
        <v>6</v>
      </c>
      <c r="I20" s="215" t="s">
        <v>188</v>
      </c>
      <c r="J20" s="189" t="s">
        <v>38</v>
      </c>
      <c r="K20" s="208"/>
    </row>
    <row r="21" spans="1:10" ht="12.75">
      <c r="A21" s="78" t="s">
        <v>201</v>
      </c>
      <c r="B21" s="193">
        <v>62</v>
      </c>
      <c r="C21" s="215" t="s">
        <v>188</v>
      </c>
      <c r="D21" s="204" t="s">
        <v>38</v>
      </c>
      <c r="E21" s="199">
        <v>55</v>
      </c>
      <c r="F21" s="215" t="s">
        <v>188</v>
      </c>
      <c r="G21" s="204" t="s">
        <v>38</v>
      </c>
      <c r="H21" s="199">
        <v>55</v>
      </c>
      <c r="I21" s="215" t="s">
        <v>188</v>
      </c>
      <c r="J21" s="189" t="s">
        <v>38</v>
      </c>
    </row>
    <row r="22" spans="1:10" ht="12.75">
      <c r="A22" s="79"/>
      <c r="B22" s="195"/>
      <c r="C22" s="214"/>
      <c r="D22" s="205"/>
      <c r="E22" s="201"/>
      <c r="F22" s="214"/>
      <c r="G22" s="205"/>
      <c r="H22" s="201"/>
      <c r="I22" s="214"/>
      <c r="J22" s="190"/>
    </row>
    <row r="23" spans="1:10" ht="12.75">
      <c r="A23" s="79" t="s">
        <v>123</v>
      </c>
      <c r="B23" s="195">
        <v>33.3</v>
      </c>
      <c r="C23" s="214" t="s">
        <v>122</v>
      </c>
      <c r="D23" s="205" t="s">
        <v>118</v>
      </c>
      <c r="E23" s="201">
        <v>62.7</v>
      </c>
      <c r="F23" s="214" t="s">
        <v>122</v>
      </c>
      <c r="G23" s="205" t="s">
        <v>118</v>
      </c>
      <c r="H23" s="201">
        <v>25</v>
      </c>
      <c r="I23" s="214" t="s">
        <v>122</v>
      </c>
      <c r="J23" s="190" t="s">
        <v>118</v>
      </c>
    </row>
    <row r="24" spans="1:10" ht="12.75">
      <c r="A24" s="79"/>
      <c r="B24" s="195"/>
      <c r="C24" s="214"/>
      <c r="D24" s="205"/>
      <c r="E24" s="201"/>
      <c r="F24" s="214"/>
      <c r="G24" s="205"/>
      <c r="H24" s="201"/>
      <c r="I24" s="214"/>
      <c r="J24" s="190"/>
    </row>
    <row r="25" spans="1:10" ht="12.75">
      <c r="A25" s="66" t="s">
        <v>271</v>
      </c>
      <c r="B25" s="195"/>
      <c r="C25" s="214"/>
      <c r="D25" s="205"/>
      <c r="E25" s="201"/>
      <c r="F25" s="214"/>
      <c r="G25" s="205"/>
      <c r="H25" s="201"/>
      <c r="I25" s="214"/>
      <c r="J25" s="190"/>
    </row>
    <row r="26" spans="1:10" ht="12.75">
      <c r="A26" s="78" t="s">
        <v>103</v>
      </c>
      <c r="B26" s="220">
        <v>0.93</v>
      </c>
      <c r="C26" s="215" t="s">
        <v>188</v>
      </c>
      <c r="D26" s="205" t="s">
        <v>118</v>
      </c>
      <c r="E26" s="222">
        <v>0.9119</v>
      </c>
      <c r="F26" s="215" t="s">
        <v>188</v>
      </c>
      <c r="G26" s="205" t="s">
        <v>118</v>
      </c>
      <c r="H26" s="222">
        <v>0.5264</v>
      </c>
      <c r="I26" s="215" t="s">
        <v>188</v>
      </c>
      <c r="J26" s="219" t="s">
        <v>118</v>
      </c>
    </row>
    <row r="27" spans="1:10" ht="12.75">
      <c r="A27" s="78" t="s">
        <v>267</v>
      </c>
      <c r="B27" s="220">
        <v>0.024</v>
      </c>
      <c r="C27" s="215" t="s">
        <v>188</v>
      </c>
      <c r="D27" s="205" t="s">
        <v>118</v>
      </c>
      <c r="E27" s="222">
        <v>0.0419</v>
      </c>
      <c r="F27" s="215" t="s">
        <v>188</v>
      </c>
      <c r="G27" s="205" t="s">
        <v>118</v>
      </c>
      <c r="H27" s="222">
        <v>0</v>
      </c>
      <c r="I27" s="215" t="s">
        <v>188</v>
      </c>
      <c r="J27" s="219" t="s">
        <v>118</v>
      </c>
    </row>
    <row r="28" spans="1:10" ht="12.75">
      <c r="A28" s="78" t="s">
        <v>177</v>
      </c>
      <c r="B28" s="220">
        <v>0</v>
      </c>
      <c r="C28" s="215" t="s">
        <v>188</v>
      </c>
      <c r="D28" s="205" t="s">
        <v>118</v>
      </c>
      <c r="E28" s="222">
        <v>0</v>
      </c>
      <c r="F28" s="215" t="s">
        <v>188</v>
      </c>
      <c r="G28" s="205" t="s">
        <v>118</v>
      </c>
      <c r="H28" s="222">
        <v>0.4462</v>
      </c>
      <c r="I28" s="215" t="s">
        <v>188</v>
      </c>
      <c r="J28" s="219" t="s">
        <v>118</v>
      </c>
    </row>
    <row r="29" spans="1:10" ht="12.75">
      <c r="A29" s="78" t="s">
        <v>201</v>
      </c>
      <c r="B29" s="220">
        <v>0.045</v>
      </c>
      <c r="C29" s="215" t="s">
        <v>188</v>
      </c>
      <c r="D29" s="205" t="s">
        <v>118</v>
      </c>
      <c r="E29" s="222">
        <v>0.0462</v>
      </c>
      <c r="F29" s="215" t="s">
        <v>188</v>
      </c>
      <c r="G29" s="205" t="s">
        <v>118</v>
      </c>
      <c r="H29" s="222">
        <v>0.0273</v>
      </c>
      <c r="I29" s="215" t="s">
        <v>188</v>
      </c>
      <c r="J29" s="219" t="s">
        <v>118</v>
      </c>
    </row>
    <row r="30" spans="1:10" ht="13.5" thickBot="1">
      <c r="A30" s="79"/>
      <c r="B30" s="196"/>
      <c r="C30" s="216"/>
      <c r="D30" s="206"/>
      <c r="E30" s="202"/>
      <c r="F30" s="216"/>
      <c r="G30" s="206"/>
      <c r="H30" s="202"/>
      <c r="I30" s="216"/>
      <c r="J30" s="191"/>
    </row>
    <row r="31" spans="1:10" ht="12.75">
      <c r="A31" s="79"/>
      <c r="B31" s="201"/>
      <c r="C31" s="223"/>
      <c r="D31" s="224"/>
      <c r="E31" s="201"/>
      <c r="F31" s="223"/>
      <c r="G31" s="224"/>
      <c r="H31" s="201"/>
      <c r="I31" s="223"/>
      <c r="J31" s="224"/>
    </row>
    <row r="32" spans="1:4" ht="12.75">
      <c r="A32" s="79"/>
      <c r="B32" s="80"/>
      <c r="C32" s="78"/>
      <c r="D32" s="79"/>
    </row>
    <row r="33" spans="1:4" ht="15.75">
      <c r="A33" s="79" t="s">
        <v>128</v>
      </c>
      <c r="B33" s="80"/>
      <c r="C33" s="79" t="s">
        <v>272</v>
      </c>
      <c r="D33" s="79"/>
    </row>
    <row r="34" spans="1:4" ht="12.75">
      <c r="A34" s="31"/>
      <c r="B34" s="35"/>
      <c r="C34" s="26"/>
      <c r="D34" s="28"/>
    </row>
    <row r="35" spans="1:4" ht="12.75">
      <c r="A35" s="31"/>
      <c r="B35" s="35"/>
      <c r="C35" s="26"/>
      <c r="D35" s="28"/>
    </row>
    <row r="36" spans="1:4" ht="18">
      <c r="A36" s="225" t="s">
        <v>262</v>
      </c>
      <c r="B36" s="225"/>
      <c r="C36" s="225"/>
      <c r="D36" s="28"/>
    </row>
    <row r="37" spans="1:4" ht="15.75">
      <c r="A37" s="36" t="s">
        <v>45</v>
      </c>
      <c r="B37" s="27"/>
      <c r="C37" s="26"/>
      <c r="D37" s="28"/>
    </row>
    <row r="38" spans="1:4" ht="12.75">
      <c r="A38" s="28"/>
      <c r="B38" s="27"/>
      <c r="C38" s="26"/>
      <c r="D38" s="28"/>
    </row>
    <row r="39" spans="1:7" ht="15.75">
      <c r="A39" s="39" t="s">
        <v>52</v>
      </c>
      <c r="B39" s="30" t="s">
        <v>129</v>
      </c>
      <c r="C39" s="75" t="s">
        <v>137</v>
      </c>
      <c r="D39" s="75" t="s">
        <v>130</v>
      </c>
      <c r="E39" s="30" t="s">
        <v>131</v>
      </c>
      <c r="F39" s="30" t="s">
        <v>132</v>
      </c>
      <c r="G39" s="30" t="s">
        <v>54</v>
      </c>
    </row>
    <row r="40" spans="1:7" ht="12.75">
      <c r="A40" s="25"/>
      <c r="B40" s="30" t="s">
        <v>135</v>
      </c>
      <c r="C40" s="75" t="s">
        <v>136</v>
      </c>
      <c r="D40" s="30" t="s">
        <v>55</v>
      </c>
      <c r="E40" s="30" t="s">
        <v>134</v>
      </c>
      <c r="F40" s="30" t="s">
        <v>133</v>
      </c>
      <c r="G40" s="26"/>
    </row>
    <row r="41" spans="1:8" ht="12.75">
      <c r="A41" s="25"/>
      <c r="B41" s="40">
        <f>B14</f>
        <v>2.9</v>
      </c>
      <c r="C41" s="81">
        <f>B15</f>
        <v>12</v>
      </c>
      <c r="D41" s="47">
        <f>B11</f>
        <v>6000</v>
      </c>
      <c r="E41" s="40">
        <f>B13</f>
        <v>22</v>
      </c>
      <c r="F41" s="82">
        <f>B12</f>
        <v>8000</v>
      </c>
      <c r="G41" s="166">
        <f>(B41*C41*D41)/(E41*F41)</f>
        <v>1.1863636363636363</v>
      </c>
      <c r="H41" s="43" t="s">
        <v>58</v>
      </c>
    </row>
    <row r="42" spans="1:8" ht="12.75">
      <c r="A42" s="25"/>
      <c r="B42" s="40"/>
      <c r="C42" s="81"/>
      <c r="D42" s="47"/>
      <c r="E42" s="40"/>
      <c r="F42" s="82"/>
      <c r="G42" s="166"/>
      <c r="H42" s="43"/>
    </row>
    <row r="43" spans="1:8" ht="12.75">
      <c r="A43" s="78" t="s">
        <v>103</v>
      </c>
      <c r="B43" s="40"/>
      <c r="C43" s="81"/>
      <c r="D43" s="47"/>
      <c r="E43" s="40"/>
      <c r="F43" s="82"/>
      <c r="G43" s="166">
        <f>G41*B26</f>
        <v>1.1033181818181819</v>
      </c>
      <c r="H43" s="43" t="s">
        <v>64</v>
      </c>
    </row>
    <row r="44" spans="1:8" ht="12.75">
      <c r="A44" s="78" t="s">
        <v>267</v>
      </c>
      <c r="B44" s="40"/>
      <c r="C44" s="81"/>
      <c r="D44" s="47"/>
      <c r="E44" s="40"/>
      <c r="F44" s="82"/>
      <c r="G44" s="166">
        <f>G41*B27</f>
        <v>0.02847272727272727</v>
      </c>
      <c r="H44" s="43" t="s">
        <v>64</v>
      </c>
    </row>
    <row r="45" spans="1:8" ht="12.75">
      <c r="A45" s="78" t="s">
        <v>177</v>
      </c>
      <c r="B45" s="40"/>
      <c r="C45" s="81"/>
      <c r="D45" s="47"/>
      <c r="E45" s="40"/>
      <c r="F45" s="82"/>
      <c r="G45" s="166">
        <f>G41*B28</f>
        <v>0</v>
      </c>
      <c r="H45" s="43" t="s">
        <v>64</v>
      </c>
    </row>
    <row r="46" spans="1:7" ht="12.75">
      <c r="A46" s="25"/>
      <c r="B46" s="25"/>
      <c r="D46" s="25"/>
      <c r="G46" s="221"/>
    </row>
    <row r="47" ht="15.75">
      <c r="A47" s="37" t="s">
        <v>46</v>
      </c>
    </row>
    <row r="48" spans="2:6" ht="12.75">
      <c r="B48" s="30"/>
      <c r="D48" s="30"/>
      <c r="E48" s="26"/>
      <c r="F48" s="25"/>
    </row>
    <row r="49" spans="1:6" ht="25.5">
      <c r="A49" s="39" t="s">
        <v>52</v>
      </c>
      <c r="B49" s="68" t="s">
        <v>123</v>
      </c>
      <c r="C49" s="68" t="s">
        <v>141</v>
      </c>
      <c r="D49" s="68" t="s">
        <v>139</v>
      </c>
      <c r="E49" s="85"/>
      <c r="F49" s="84"/>
    </row>
    <row r="50" spans="1:6" ht="12.75">
      <c r="A50" s="25"/>
      <c r="B50" s="83" t="s">
        <v>138</v>
      </c>
      <c r="C50" s="47" t="s">
        <v>142</v>
      </c>
      <c r="D50" s="40"/>
      <c r="F50" s="43"/>
    </row>
    <row r="51" spans="2:5" ht="12.75">
      <c r="B51" s="75">
        <f>B23</f>
        <v>33.3</v>
      </c>
      <c r="C51" s="75">
        <f>1/2000</f>
        <v>0.0005</v>
      </c>
      <c r="D51" s="63">
        <f>B51*C51</f>
        <v>0.016649999999999998</v>
      </c>
      <c r="E51" s="86" t="s">
        <v>140</v>
      </c>
    </row>
    <row r="54" spans="1:4" ht="18">
      <c r="A54" s="225" t="s">
        <v>263</v>
      </c>
      <c r="B54" s="225"/>
      <c r="C54" s="225"/>
      <c r="D54" s="28"/>
    </row>
    <row r="55" spans="1:4" ht="15.75">
      <c r="A55" s="36" t="s">
        <v>45</v>
      </c>
      <c r="B55" s="27"/>
      <c r="C55" s="26"/>
      <c r="D55" s="28"/>
    </row>
    <row r="56" spans="1:4" ht="12.75">
      <c r="A56" s="28"/>
      <c r="B56" s="27"/>
      <c r="C56" s="26"/>
      <c r="D56" s="28"/>
    </row>
    <row r="57" spans="1:7" ht="15.75">
      <c r="A57" s="39" t="s">
        <v>52</v>
      </c>
      <c r="B57" s="30" t="s">
        <v>129</v>
      </c>
      <c r="C57" s="75" t="s">
        <v>137</v>
      </c>
      <c r="D57" s="75" t="s">
        <v>130</v>
      </c>
      <c r="E57" s="30" t="s">
        <v>131</v>
      </c>
      <c r="F57" s="30" t="s">
        <v>132</v>
      </c>
      <c r="G57" s="30" t="s">
        <v>54</v>
      </c>
    </row>
    <row r="58" spans="1:7" ht="12.75">
      <c r="A58" s="25"/>
      <c r="B58" s="30" t="s">
        <v>135</v>
      </c>
      <c r="C58" s="75" t="s">
        <v>136</v>
      </c>
      <c r="D58" s="30" t="s">
        <v>55</v>
      </c>
      <c r="E58" s="30" t="s">
        <v>134</v>
      </c>
      <c r="F58" s="30" t="s">
        <v>133</v>
      </c>
      <c r="G58" s="26"/>
    </row>
    <row r="59" spans="1:8" ht="12.75">
      <c r="A59" s="25"/>
      <c r="B59" s="40">
        <f>E14</f>
        <v>4.64</v>
      </c>
      <c r="C59" s="81">
        <f>E15</f>
        <v>12</v>
      </c>
      <c r="D59" s="47">
        <f>E11</f>
        <v>6000</v>
      </c>
      <c r="E59" s="95">
        <f>E13</f>
        <v>100</v>
      </c>
      <c r="F59" s="82">
        <f>E12</f>
        <v>8000</v>
      </c>
      <c r="G59" s="166">
        <f>(B59*C59*D59)/(E59*F59)</f>
        <v>0.4175999999999999</v>
      </c>
      <c r="H59" s="43" t="s">
        <v>58</v>
      </c>
    </row>
    <row r="60" spans="1:8" ht="12.75">
      <c r="A60" s="25"/>
      <c r="B60" s="40"/>
      <c r="C60" s="81"/>
      <c r="D60" s="47"/>
      <c r="E60" s="95"/>
      <c r="F60" s="82"/>
      <c r="G60" s="166"/>
      <c r="H60" s="43"/>
    </row>
    <row r="61" spans="1:8" ht="12.75">
      <c r="A61" s="78" t="s">
        <v>103</v>
      </c>
      <c r="B61" s="40"/>
      <c r="C61" s="81"/>
      <c r="D61" s="47"/>
      <c r="E61" s="95"/>
      <c r="F61" s="82"/>
      <c r="G61" s="166">
        <f>G59*E26</f>
        <v>0.38080943999999994</v>
      </c>
      <c r="H61" s="43" t="s">
        <v>64</v>
      </c>
    </row>
    <row r="62" spans="1:8" ht="12.75">
      <c r="A62" s="78" t="s">
        <v>267</v>
      </c>
      <c r="B62" s="40"/>
      <c r="C62" s="81"/>
      <c r="D62" s="47"/>
      <c r="E62" s="95"/>
      <c r="F62" s="82"/>
      <c r="G62" s="166">
        <f>G59*E27</f>
        <v>0.017497439999999996</v>
      </c>
      <c r="H62" s="43" t="s">
        <v>64</v>
      </c>
    </row>
    <row r="63" spans="1:8" ht="12.75">
      <c r="A63" s="78" t="s">
        <v>177</v>
      </c>
      <c r="B63" s="25"/>
      <c r="D63" s="25"/>
      <c r="G63" s="166">
        <f>G59*E28</f>
        <v>0</v>
      </c>
      <c r="H63" s="43" t="s">
        <v>64</v>
      </c>
    </row>
    <row r="64" spans="1:4" ht="12.75">
      <c r="A64" s="78"/>
      <c r="B64" s="25"/>
      <c r="D64" s="25"/>
    </row>
    <row r="65" ht="15.75">
      <c r="A65" s="37" t="s">
        <v>46</v>
      </c>
    </row>
    <row r="66" spans="2:6" ht="12.75">
      <c r="B66" s="30"/>
      <c r="D66" s="30"/>
      <c r="E66" s="26"/>
      <c r="F66" s="25"/>
    </row>
    <row r="67" spans="1:6" ht="25.5">
      <c r="A67" s="39" t="s">
        <v>52</v>
      </c>
      <c r="B67" s="68" t="s">
        <v>123</v>
      </c>
      <c r="C67" s="68" t="s">
        <v>141</v>
      </c>
      <c r="D67" s="68" t="s">
        <v>139</v>
      </c>
      <c r="E67" s="85"/>
      <c r="F67" s="84"/>
    </row>
    <row r="68" spans="1:6" ht="12.75">
      <c r="A68" s="25"/>
      <c r="B68" s="83" t="s">
        <v>138</v>
      </c>
      <c r="C68" s="47" t="s">
        <v>142</v>
      </c>
      <c r="D68" s="40"/>
      <c r="F68" s="43"/>
    </row>
    <row r="69" spans="2:5" ht="12.75">
      <c r="B69" s="75">
        <f>E23</f>
        <v>62.7</v>
      </c>
      <c r="C69" s="75">
        <f>1/2000</f>
        <v>0.0005</v>
      </c>
      <c r="D69" s="63">
        <f>B69*C69</f>
        <v>0.03135</v>
      </c>
      <c r="E69" s="86" t="s">
        <v>140</v>
      </c>
    </row>
    <row r="73" spans="1:4" ht="18">
      <c r="A73" s="225" t="s">
        <v>264</v>
      </c>
      <c r="B73" s="225"/>
      <c r="C73" s="225"/>
      <c r="D73" s="28"/>
    </row>
    <row r="74" spans="1:4" ht="15.75">
      <c r="A74" s="36" t="s">
        <v>45</v>
      </c>
      <c r="B74" s="27"/>
      <c r="C74" s="26"/>
      <c r="D74" s="28"/>
    </row>
    <row r="75" spans="1:4" ht="12.75">
      <c r="A75" s="28"/>
      <c r="B75" s="27"/>
      <c r="C75" s="26"/>
      <c r="D75" s="28"/>
    </row>
    <row r="76" spans="1:7" ht="15.75">
      <c r="A76" s="39" t="s">
        <v>52</v>
      </c>
      <c r="B76" s="30" t="s">
        <v>129</v>
      </c>
      <c r="C76" s="75" t="s">
        <v>137</v>
      </c>
      <c r="D76" s="75" t="s">
        <v>130</v>
      </c>
      <c r="E76" s="30" t="s">
        <v>131</v>
      </c>
      <c r="F76" s="30" t="s">
        <v>132</v>
      </c>
      <c r="G76" s="30" t="s">
        <v>54</v>
      </c>
    </row>
    <row r="77" spans="1:7" ht="12.75">
      <c r="A77" s="25"/>
      <c r="B77" s="30" t="s">
        <v>135</v>
      </c>
      <c r="C77" s="75" t="s">
        <v>136</v>
      </c>
      <c r="D77" s="30" t="s">
        <v>55</v>
      </c>
      <c r="E77" s="30" t="s">
        <v>134</v>
      </c>
      <c r="F77" s="30" t="s">
        <v>133</v>
      </c>
      <c r="G77" s="26"/>
    </row>
    <row r="78" spans="1:8" ht="12.75">
      <c r="A78" s="25"/>
      <c r="B78" s="40">
        <f>H14</f>
        <v>1.07</v>
      </c>
      <c r="C78" s="81">
        <f>H15</f>
        <v>12</v>
      </c>
      <c r="D78" s="47">
        <f>H11</f>
        <v>6000</v>
      </c>
      <c r="E78" s="40">
        <f>H13</f>
        <v>5</v>
      </c>
      <c r="F78" s="82">
        <f>H12</f>
        <v>8000</v>
      </c>
      <c r="G78" s="166">
        <f>(B78*C78*D78)/(E78*F78)</f>
        <v>1.926</v>
      </c>
      <c r="H78" s="43" t="s">
        <v>58</v>
      </c>
    </row>
    <row r="79" spans="1:8" ht="12.75">
      <c r="A79" s="25"/>
      <c r="B79" s="40"/>
      <c r="C79" s="81"/>
      <c r="D79" s="47"/>
      <c r="E79" s="40"/>
      <c r="F79" s="82"/>
      <c r="G79" s="166"/>
      <c r="H79" s="43"/>
    </row>
    <row r="80" spans="1:8" ht="12.75">
      <c r="A80" s="78" t="s">
        <v>103</v>
      </c>
      <c r="B80" s="40"/>
      <c r="C80" s="81"/>
      <c r="D80" s="47"/>
      <c r="E80" s="40"/>
      <c r="F80" s="82"/>
      <c r="G80" s="166">
        <f>G78*H26</f>
        <v>1.0138463999999998</v>
      </c>
      <c r="H80" s="43" t="s">
        <v>64</v>
      </c>
    </row>
    <row r="81" spans="1:8" ht="12.75">
      <c r="A81" s="78" t="s">
        <v>267</v>
      </c>
      <c r="B81" s="40"/>
      <c r="C81" s="81"/>
      <c r="D81" s="47"/>
      <c r="E81" s="40"/>
      <c r="F81" s="82"/>
      <c r="G81" s="166">
        <f>G78*H27</f>
        <v>0</v>
      </c>
      <c r="H81" s="43" t="s">
        <v>64</v>
      </c>
    </row>
    <row r="82" spans="1:8" ht="12.75">
      <c r="A82" s="78" t="s">
        <v>177</v>
      </c>
      <c r="B82" s="25"/>
      <c r="D82" s="25"/>
      <c r="G82" s="166">
        <f>G78*H28</f>
        <v>0.8593812</v>
      </c>
      <c r="H82" s="43" t="s">
        <v>64</v>
      </c>
    </row>
    <row r="83" spans="1:4" ht="12.75">
      <c r="A83" s="78"/>
      <c r="B83" s="25"/>
      <c r="D83" s="25"/>
    </row>
    <row r="84" ht="15.75">
      <c r="A84" s="37" t="s">
        <v>46</v>
      </c>
    </row>
    <row r="85" spans="2:6" ht="12.75">
      <c r="B85" s="30"/>
      <c r="D85" s="30"/>
      <c r="E85" s="26"/>
      <c r="F85" s="25"/>
    </row>
    <row r="86" spans="1:6" ht="25.5">
      <c r="A86" s="39" t="s">
        <v>52</v>
      </c>
      <c r="B86" s="68" t="s">
        <v>123</v>
      </c>
      <c r="C86" s="68" t="s">
        <v>141</v>
      </c>
      <c r="D86" s="68" t="s">
        <v>139</v>
      </c>
      <c r="E86" s="85"/>
      <c r="F86" s="84"/>
    </row>
    <row r="87" spans="1:6" ht="12.75">
      <c r="A87" s="25"/>
      <c r="B87" s="83" t="s">
        <v>138</v>
      </c>
      <c r="C87" s="47" t="s">
        <v>142</v>
      </c>
      <c r="D87" s="40"/>
      <c r="F87" s="43"/>
    </row>
    <row r="88" spans="2:5" ht="12.75">
      <c r="B88" s="75">
        <f>H23</f>
        <v>25</v>
      </c>
      <c r="C88" s="75">
        <f>1/2000</f>
        <v>0.0005</v>
      </c>
      <c r="D88" s="63">
        <f>B88*C88</f>
        <v>0.0125</v>
      </c>
      <c r="E88" s="86" t="s">
        <v>140</v>
      </c>
    </row>
  </sheetData>
  <mergeCells count="11">
    <mergeCell ref="A36:C36"/>
    <mergeCell ref="A54:C54"/>
    <mergeCell ref="A73:C73"/>
    <mergeCell ref="A5:J5"/>
    <mergeCell ref="B8:D8"/>
    <mergeCell ref="E8:G8"/>
    <mergeCell ref="H8:J8"/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Footer>&amp;LOK INDUSTRIAL COMPOSITES EMISSION CALCULATIONS.XLS&amp;RPRINTED ON RECYCLED PAPER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 topLeftCell="A1">
      <selection activeCell="A1" sqref="A1:H1"/>
    </sheetView>
  </sheetViews>
  <sheetFormatPr defaultColWidth="9.140625" defaultRowHeight="12.75"/>
  <cols>
    <col min="1" max="2" width="18.421875" style="0" customWidth="1"/>
    <col min="3" max="5" width="15.7109375" style="0" customWidth="1"/>
    <col min="6" max="8" width="11.7109375" style="0" customWidth="1"/>
  </cols>
  <sheetData>
    <row r="1" spans="1:8" ht="18">
      <c r="A1" s="226" t="s">
        <v>5</v>
      </c>
      <c r="B1" s="226"/>
      <c r="C1" s="226"/>
      <c r="D1" s="226"/>
      <c r="E1" s="226"/>
      <c r="F1" s="226"/>
      <c r="G1" s="226"/>
      <c r="H1" s="226"/>
    </row>
    <row r="2" spans="1:8" ht="18">
      <c r="A2" s="225" t="s">
        <v>206</v>
      </c>
      <c r="B2" s="225"/>
      <c r="C2" s="225"/>
      <c r="D2" s="225"/>
      <c r="E2" s="225"/>
      <c r="F2" s="225"/>
      <c r="G2" s="225"/>
      <c r="H2" s="225"/>
    </row>
    <row r="3" spans="1:8" ht="18">
      <c r="A3" s="225" t="s">
        <v>205</v>
      </c>
      <c r="B3" s="225"/>
      <c r="C3" s="225"/>
      <c r="D3" s="225"/>
      <c r="E3" s="225"/>
      <c r="F3" s="225"/>
      <c r="G3" s="225"/>
      <c r="H3" s="225"/>
    </row>
    <row r="4" spans="1:10" ht="18">
      <c r="A4" s="227" t="s">
        <v>36</v>
      </c>
      <c r="B4" s="227"/>
      <c r="C4" s="227"/>
      <c r="D4" s="227"/>
      <c r="E4" s="227"/>
      <c r="F4" s="227"/>
      <c r="G4" s="227"/>
      <c r="H4" s="227"/>
      <c r="I4" s="60"/>
      <c r="J4" s="60"/>
    </row>
    <row r="5" spans="1:10" ht="18">
      <c r="A5" s="227"/>
      <c r="B5" s="227"/>
      <c r="C5" s="227"/>
      <c r="D5" s="227"/>
      <c r="E5" s="227"/>
      <c r="F5" s="227"/>
      <c r="G5" s="227"/>
      <c r="H5" s="227"/>
      <c r="I5" s="227"/>
      <c r="J5" s="227"/>
    </row>
    <row r="6" spans="1:6" ht="12.75">
      <c r="A6" s="51"/>
      <c r="B6" s="51"/>
      <c r="C6" s="51"/>
      <c r="D6" s="51"/>
      <c r="E6" s="51"/>
      <c r="F6" s="51"/>
    </row>
    <row r="7" spans="1:6" ht="20.25">
      <c r="A7" s="52" t="s">
        <v>86</v>
      </c>
      <c r="B7" s="52"/>
      <c r="C7" s="51"/>
      <c r="D7" s="51"/>
      <c r="E7" s="51"/>
      <c r="F7" s="51"/>
    </row>
    <row r="8" spans="1:6" ht="12.75">
      <c r="A8" s="51"/>
      <c r="B8" s="51"/>
      <c r="C8" s="229"/>
      <c r="D8" s="229"/>
      <c r="E8" s="229"/>
      <c r="F8" s="229"/>
    </row>
    <row r="9" spans="1:6" ht="12.75">
      <c r="A9" s="51"/>
      <c r="B9" s="53"/>
      <c r="C9" s="228" t="s">
        <v>87</v>
      </c>
      <c r="D9" s="228"/>
      <c r="E9" s="228"/>
      <c r="F9" s="228"/>
    </row>
    <row r="10" spans="1:6" ht="12.75">
      <c r="A10" s="54" t="s">
        <v>88</v>
      </c>
      <c r="B10" s="53" t="s">
        <v>233</v>
      </c>
      <c r="C10" s="53" t="s">
        <v>65</v>
      </c>
      <c r="D10" s="53" t="s">
        <v>89</v>
      </c>
      <c r="E10" s="53"/>
      <c r="F10" s="53"/>
    </row>
    <row r="11" spans="1:6" ht="12.75">
      <c r="A11" s="51"/>
      <c r="B11" s="51"/>
      <c r="C11" s="55"/>
      <c r="D11" s="55"/>
      <c r="E11" s="55"/>
      <c r="F11" s="55"/>
    </row>
    <row r="12" spans="1:6" ht="12.75">
      <c r="A12" s="51" t="s">
        <v>232</v>
      </c>
      <c r="B12" s="51" t="s">
        <v>240</v>
      </c>
      <c r="C12" s="55">
        <f>'SPRAY LAYUP'!E94</f>
        <v>11.544599999999999</v>
      </c>
      <c r="D12" s="55">
        <f>'SPRAY LAYUP'!E134</f>
        <v>14.430749999999998</v>
      </c>
      <c r="E12" s="55"/>
      <c r="F12" s="55"/>
    </row>
    <row r="13" spans="1:6" ht="12.75">
      <c r="A13" s="51" t="s">
        <v>234</v>
      </c>
      <c r="B13" s="51" t="s">
        <v>240</v>
      </c>
      <c r="C13" s="55">
        <f>'STORAGE TANK EMISSIONS'!G41</f>
        <v>1.1863636363636363</v>
      </c>
      <c r="D13" s="55">
        <f>'STORAGE TANK EMISSIONS'!D51</f>
        <v>0.016649999999999998</v>
      </c>
      <c r="E13" s="55"/>
      <c r="F13" s="55"/>
    </row>
    <row r="14" spans="1:6" ht="14.25">
      <c r="A14" s="51" t="s">
        <v>155</v>
      </c>
      <c r="B14" s="51" t="s">
        <v>240</v>
      </c>
      <c r="C14" s="55">
        <v>0</v>
      </c>
      <c r="D14" s="55">
        <f>'CLEANUP EMISSIONS '!E54</f>
        <v>0.27551999999999993</v>
      </c>
      <c r="E14" s="55"/>
      <c r="F14" s="55"/>
    </row>
    <row r="15" spans="2:6" ht="12.75">
      <c r="B15" s="56" t="s">
        <v>90</v>
      </c>
      <c r="C15" s="57">
        <f>SUM(C12:C14)</f>
        <v>12.730963636363635</v>
      </c>
      <c r="D15" s="57">
        <f>SUM(D12:D14)</f>
        <v>14.722919999999998</v>
      </c>
      <c r="E15" s="55"/>
      <c r="F15" s="55"/>
    </row>
    <row r="16" spans="1:6" ht="12.75">
      <c r="A16" s="51"/>
      <c r="B16" s="51"/>
      <c r="C16" s="55"/>
      <c r="D16" s="55"/>
      <c r="E16" s="55"/>
      <c r="F16" s="55"/>
    </row>
    <row r="17" spans="1:6" ht="12.75">
      <c r="A17" s="51"/>
      <c r="B17" s="51"/>
      <c r="C17" s="55"/>
      <c r="D17" s="55"/>
      <c r="E17" s="55"/>
      <c r="F17" s="55"/>
    </row>
    <row r="18" spans="1:6" ht="12.75">
      <c r="A18" s="51" t="s">
        <v>236</v>
      </c>
      <c r="B18" s="51" t="s">
        <v>241</v>
      </c>
      <c r="C18" s="55">
        <f>'HAND LAYUP'!E94</f>
        <v>16.5824</v>
      </c>
      <c r="D18" s="55">
        <f>'HAND LAYUP'!E134</f>
        <v>4.6638</v>
      </c>
      <c r="E18" s="55"/>
      <c r="F18" s="55"/>
    </row>
    <row r="19" spans="1:6" ht="12.75">
      <c r="A19" s="51" t="s">
        <v>235</v>
      </c>
      <c r="B19" s="51" t="s">
        <v>241</v>
      </c>
      <c r="C19" s="55">
        <f>'STORAGE TANK EMISSIONS'!G59</f>
        <v>0.4175999999999999</v>
      </c>
      <c r="D19" s="55">
        <f>'STORAGE TANK EMISSIONS'!D69</f>
        <v>0.03135</v>
      </c>
      <c r="E19" s="55"/>
      <c r="F19" s="55"/>
    </row>
    <row r="20" spans="1:6" ht="14.25">
      <c r="A20" s="51" t="s">
        <v>155</v>
      </c>
      <c r="B20" s="51" t="s">
        <v>241</v>
      </c>
      <c r="C20" s="55">
        <v>0</v>
      </c>
      <c r="D20" s="55">
        <f>'CLEANUP EMISSIONS '!E56</f>
        <v>0.07871999999999997</v>
      </c>
      <c r="E20" s="55"/>
      <c r="F20" s="55"/>
    </row>
    <row r="21" spans="1:6" ht="12.75">
      <c r="A21" s="56"/>
      <c r="B21" s="56" t="s">
        <v>90</v>
      </c>
      <c r="C21" s="57">
        <f>SUM(C18:C20)</f>
        <v>17</v>
      </c>
      <c r="D21" s="57">
        <f>SUM(D18:D20)</f>
        <v>4.77387</v>
      </c>
      <c r="E21" s="55"/>
      <c r="F21" s="55"/>
    </row>
    <row r="22" spans="1:6" ht="12.75">
      <c r="A22" s="51"/>
      <c r="B22" s="51"/>
      <c r="C22" s="55"/>
      <c r="D22" s="55"/>
      <c r="E22" s="55"/>
      <c r="F22" s="55"/>
    </row>
    <row r="23" spans="1:6" ht="12.75">
      <c r="A23" s="51"/>
      <c r="B23" s="51"/>
      <c r="C23" s="55"/>
      <c r="D23" s="55"/>
      <c r="E23" s="55"/>
      <c r="F23" s="55"/>
    </row>
    <row r="24" spans="1:6" ht="12.75">
      <c r="A24" s="51" t="s">
        <v>237</v>
      </c>
      <c r="B24" s="51" t="s">
        <v>239</v>
      </c>
      <c r="C24" s="55">
        <f>'FILAMENT WINDING'!E94</f>
        <v>26.772</v>
      </c>
      <c r="D24" s="55">
        <f>'FILAMENT WINDING'!E134</f>
        <v>24.541</v>
      </c>
      <c r="E24" s="55"/>
      <c r="F24" s="55"/>
    </row>
    <row r="25" spans="1:6" ht="12.75">
      <c r="A25" s="51" t="s">
        <v>238</v>
      </c>
      <c r="B25" s="51" t="s">
        <v>239</v>
      </c>
      <c r="C25" s="55">
        <f>'STORAGE TANK EMISSIONS'!G78</f>
        <v>1.926</v>
      </c>
      <c r="D25" s="55">
        <f>'STORAGE TANK EMISSIONS'!D88</f>
        <v>0.0125</v>
      </c>
      <c r="E25" s="55"/>
      <c r="F25" s="55"/>
    </row>
    <row r="26" spans="1:6" ht="14.25">
      <c r="A26" s="51" t="s">
        <v>155</v>
      </c>
      <c r="B26" s="51" t="s">
        <v>239</v>
      </c>
      <c r="C26" s="55">
        <v>0</v>
      </c>
      <c r="D26" s="55">
        <f>'CLEANUP EMISSIONS '!E65</f>
        <v>0.92322</v>
      </c>
      <c r="E26" s="55"/>
      <c r="F26" s="55"/>
    </row>
    <row r="27" spans="2:6" ht="12.75">
      <c r="B27" s="56" t="s">
        <v>90</v>
      </c>
      <c r="C27" s="57">
        <f>SUM(C24:C26)</f>
        <v>28.697999999999997</v>
      </c>
      <c r="D27" s="57">
        <f>SUM(D24:D26)</f>
        <v>25.47672</v>
      </c>
      <c r="E27" s="55"/>
      <c r="F27" s="55"/>
    </row>
    <row r="28" spans="2:6" ht="12.75">
      <c r="B28" s="51"/>
      <c r="C28" s="55"/>
      <c r="D28" s="55"/>
      <c r="E28" s="55"/>
      <c r="F28" s="55"/>
    </row>
    <row r="29" spans="1:6" ht="14.25">
      <c r="A29" s="58" t="s">
        <v>231</v>
      </c>
      <c r="B29" s="58"/>
      <c r="C29" s="51"/>
      <c r="D29" s="51"/>
      <c r="E29" s="51"/>
      <c r="F29" s="51"/>
    </row>
    <row r="30" spans="1:6" ht="12.75">
      <c r="A30" s="51" t="s">
        <v>156</v>
      </c>
      <c r="B30" s="51"/>
      <c r="C30" s="51"/>
      <c r="D30" s="51"/>
      <c r="E30" s="51"/>
      <c r="F30" s="51"/>
    </row>
    <row r="31" spans="1:6" ht="12.75">
      <c r="A31" s="51"/>
      <c r="B31" s="51"/>
      <c r="C31" s="51"/>
      <c r="D31" s="51"/>
      <c r="E31" s="51"/>
      <c r="F31" s="51"/>
    </row>
    <row r="32" spans="1:6" ht="12.75">
      <c r="A32" s="51"/>
      <c r="B32" s="51"/>
      <c r="C32" s="51"/>
      <c r="D32" s="51"/>
      <c r="E32" s="51"/>
      <c r="F32" s="51"/>
    </row>
    <row r="33" spans="1:6" ht="20.25">
      <c r="A33" s="59" t="s">
        <v>91</v>
      </c>
      <c r="B33" s="59"/>
      <c r="C33" s="51"/>
      <c r="D33" s="51"/>
      <c r="E33" s="51"/>
      <c r="F33" s="51"/>
    </row>
    <row r="34" spans="1:6" ht="12.75">
      <c r="A34" s="51"/>
      <c r="B34" s="51"/>
      <c r="C34" s="51"/>
      <c r="D34" s="51"/>
      <c r="E34" s="51"/>
      <c r="F34" s="51"/>
    </row>
    <row r="35" spans="1:6" ht="12.75">
      <c r="A35" s="51"/>
      <c r="B35" s="53"/>
      <c r="C35" s="228" t="s">
        <v>87</v>
      </c>
      <c r="D35" s="228"/>
      <c r="E35" s="94"/>
      <c r="F35" s="94"/>
    </row>
    <row r="36" spans="1:6" ht="12.75">
      <c r="A36" s="54" t="s">
        <v>88</v>
      </c>
      <c r="B36" s="53" t="s">
        <v>233</v>
      </c>
      <c r="C36" s="53" t="s">
        <v>65</v>
      </c>
      <c r="D36" s="53" t="s">
        <v>89</v>
      </c>
      <c r="E36" s="94"/>
      <c r="F36" s="94"/>
    </row>
    <row r="37" spans="1:6" ht="12.75">
      <c r="A37" s="51"/>
      <c r="B37" s="51"/>
      <c r="C37" s="55"/>
      <c r="D37" s="55"/>
      <c r="E37" s="94"/>
      <c r="F37" s="94"/>
    </row>
    <row r="38" spans="1:6" ht="12.75">
      <c r="A38" s="51" t="s">
        <v>243</v>
      </c>
      <c r="B38" s="51" t="s">
        <v>240</v>
      </c>
      <c r="C38" s="55">
        <f>'CLEANUP EMISSIONS '!E44</f>
        <v>13.38</v>
      </c>
      <c r="D38" s="55">
        <f>'CLEANUP EMISSIONS '!E64</f>
        <v>0.84294</v>
      </c>
      <c r="E38" s="228"/>
      <c r="F38" s="228"/>
    </row>
    <row r="39" spans="1:6" ht="12.75">
      <c r="A39" s="54"/>
      <c r="B39" s="54"/>
      <c r="C39" s="53"/>
      <c r="D39" s="53"/>
      <c r="E39" s="53"/>
      <c r="F39" s="53"/>
    </row>
    <row r="40" spans="1:6" ht="12.75">
      <c r="A40" s="51" t="s">
        <v>243</v>
      </c>
      <c r="B40" s="51" t="s">
        <v>241</v>
      </c>
      <c r="C40" s="55">
        <f>'CLEANUP EMISSIONS '!E44</f>
        <v>13.38</v>
      </c>
      <c r="D40" s="55">
        <f>'CLEANUP EMISSIONS '!E66</f>
        <v>0.24084</v>
      </c>
      <c r="E40" s="55"/>
      <c r="F40" s="55"/>
    </row>
    <row r="41" spans="1:6" ht="12.75">
      <c r="A41" s="51"/>
      <c r="B41" s="51"/>
      <c r="C41" s="55"/>
      <c r="D41" s="55"/>
      <c r="E41" s="55"/>
      <c r="F41" s="55"/>
    </row>
    <row r="42" spans="1:6" ht="12.75">
      <c r="A42" s="51" t="s">
        <v>243</v>
      </c>
      <c r="B42" s="51" t="s">
        <v>239</v>
      </c>
      <c r="C42" s="55">
        <f>'CLEANUP EMISSIONS '!E44</f>
        <v>13.38</v>
      </c>
      <c r="D42" s="55">
        <f>'CLEANUP EMISSIONS '!E66</f>
        <v>0.24084</v>
      </c>
      <c r="E42" s="57"/>
      <c r="F42" s="57"/>
    </row>
    <row r="45" spans="1:2" ht="20.25">
      <c r="A45" s="61" t="s">
        <v>92</v>
      </c>
      <c r="B45" s="61"/>
    </row>
    <row r="47" spans="3:4" ht="12.75">
      <c r="C47" s="228" t="s">
        <v>87</v>
      </c>
      <c r="D47" s="228"/>
    </row>
    <row r="48" spans="3:4" ht="12.75">
      <c r="C48" s="53" t="s">
        <v>65</v>
      </c>
      <c r="D48" s="53" t="s">
        <v>89</v>
      </c>
    </row>
    <row r="49" spans="3:4" ht="12.75">
      <c r="C49" s="53"/>
      <c r="D49" s="53"/>
    </row>
    <row r="50" spans="1:4" ht="12.75">
      <c r="A50" t="s">
        <v>242</v>
      </c>
      <c r="B50" t="s">
        <v>207</v>
      </c>
      <c r="C50" s="168">
        <f>'TRIM AND GRIND'!E17</f>
        <v>0.10530000000000009</v>
      </c>
      <c r="D50" s="98">
        <f>'TRIM AND GRIND'!E22</f>
        <v>0.06844500000000006</v>
      </c>
    </row>
    <row r="51" spans="3:4" ht="12.75">
      <c r="C51" s="168"/>
      <c r="D51" s="75"/>
    </row>
    <row r="52" spans="1:4" ht="12.75">
      <c r="A52" t="s">
        <v>242</v>
      </c>
      <c r="B52" t="s">
        <v>208</v>
      </c>
      <c r="C52" s="168">
        <f>'TRIM AND GRIND'!E35</f>
        <v>0.2418000000000002</v>
      </c>
      <c r="D52" s="98">
        <f>'TRIM AND GRIND'!E40</f>
        <v>0.09067500000000009</v>
      </c>
    </row>
    <row r="53" spans="3:4" ht="12.75">
      <c r="C53" s="168"/>
      <c r="D53" s="75"/>
    </row>
    <row r="54" spans="1:4" ht="12.75">
      <c r="A54" t="s">
        <v>242</v>
      </c>
      <c r="B54" t="s">
        <v>209</v>
      </c>
      <c r="C54" s="168">
        <f>'TRIM AND GRIND'!E53</f>
        <v>0.023400000000000018</v>
      </c>
      <c r="D54" s="98">
        <f>'TRIM AND GRIND'!E58</f>
        <v>0.01287000000000001</v>
      </c>
    </row>
  </sheetData>
  <mergeCells count="12">
    <mergeCell ref="A5:J5"/>
    <mergeCell ref="A1:H1"/>
    <mergeCell ref="A2:H2"/>
    <mergeCell ref="A3:H3"/>
    <mergeCell ref="A4:H4"/>
    <mergeCell ref="C47:D47"/>
    <mergeCell ref="C8:D8"/>
    <mergeCell ref="E8:F8"/>
    <mergeCell ref="C9:D9"/>
    <mergeCell ref="E9:F9"/>
    <mergeCell ref="E38:F38"/>
    <mergeCell ref="C35:D35"/>
  </mergeCells>
  <printOptions/>
  <pageMargins left="0.75" right="0.75" top="1" bottom="1" header="0.5" footer="0.5"/>
  <pageSetup fitToHeight="1" fitToWidth="1" horizontalDpi="600" verticalDpi="600" orientation="landscape" scale="64" r:id="rId1"/>
  <headerFooter alignWithMargins="0">
    <oddFooter>&amp;LOK INDUSTRIAL COMPOSITES EMISSION CALCULATIONS&amp;RPRINTED ON RECYCLED PAPER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75" zoomScaleNormal="75" workbookViewId="0" topLeftCell="A1">
      <selection activeCell="A1" sqref="A1:S1"/>
    </sheetView>
  </sheetViews>
  <sheetFormatPr defaultColWidth="9.140625" defaultRowHeight="12.75"/>
  <cols>
    <col min="1" max="1" width="17.7109375" style="0" customWidth="1"/>
    <col min="2" max="2" width="35.7109375" style="0" customWidth="1"/>
    <col min="3" max="3" width="12.7109375" style="0" customWidth="1"/>
    <col min="4" max="9" width="15.7109375" style="0" customWidth="1"/>
    <col min="10" max="15" width="19.7109375" style="0" customWidth="1"/>
    <col min="16" max="19" width="15.7109375" style="0" customWidth="1"/>
  </cols>
  <sheetData>
    <row r="1" spans="1:19" ht="18">
      <c r="A1" s="226" t="s">
        <v>93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8">
      <c r="A2" s="225" t="s">
        <v>206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</row>
    <row r="3" spans="1:19" ht="18">
      <c r="A3" s="225" t="s">
        <v>205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</row>
    <row r="4" spans="1:19" ht="18">
      <c r="A4" s="227" t="s">
        <v>154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</row>
    <row r="6" spans="1:2" ht="12.75">
      <c r="A6" s="54" t="s">
        <v>157</v>
      </c>
      <c r="B6" s="94" t="s">
        <v>158</v>
      </c>
    </row>
    <row r="7" spans="1:2" ht="14.25">
      <c r="A7" s="99" t="s">
        <v>159</v>
      </c>
      <c r="B7" s="100" t="s">
        <v>160</v>
      </c>
    </row>
    <row r="8" spans="1:2" ht="12.75">
      <c r="A8" s="51"/>
      <c r="B8" s="51"/>
    </row>
    <row r="9" spans="1:2" ht="12.75">
      <c r="A9" s="101"/>
      <c r="B9" s="54"/>
    </row>
    <row r="10" spans="1:2" ht="12.75">
      <c r="A10" s="130" t="s">
        <v>228</v>
      </c>
      <c r="B10" s="207">
        <v>6.24</v>
      </c>
    </row>
    <row r="11" spans="1:2" ht="12.75">
      <c r="A11" s="130"/>
      <c r="B11" s="207"/>
    </row>
    <row r="12" spans="1:2" ht="12.75">
      <c r="A12" s="130" t="s">
        <v>229</v>
      </c>
      <c r="B12" s="207">
        <v>6.24</v>
      </c>
    </row>
    <row r="13" spans="1:2" ht="12.75">
      <c r="A13" s="130"/>
      <c r="B13" s="207"/>
    </row>
    <row r="14" spans="1:2" ht="12.75">
      <c r="A14" s="130" t="s">
        <v>230</v>
      </c>
      <c r="B14" s="207">
        <v>4.7</v>
      </c>
    </row>
    <row r="15" spans="1:2" ht="12.75" customHeight="1">
      <c r="A15" s="130"/>
      <c r="B15" s="207"/>
    </row>
    <row r="16" spans="1:2" ht="12.75" customHeight="1">
      <c r="A16" s="130" t="s">
        <v>207</v>
      </c>
      <c r="B16" s="207">
        <v>25.9</v>
      </c>
    </row>
    <row r="17" spans="1:2" ht="12.75" customHeight="1">
      <c r="A17" s="130"/>
      <c r="B17" s="207"/>
    </row>
    <row r="18" spans="1:2" ht="12.75" customHeight="1">
      <c r="A18" s="130" t="s">
        <v>208</v>
      </c>
      <c r="B18" s="207">
        <v>25.35</v>
      </c>
    </row>
    <row r="19" spans="1:2" ht="12.75" customHeight="1">
      <c r="A19" s="130"/>
      <c r="B19" s="207"/>
    </row>
    <row r="20" spans="1:2" ht="12.75" customHeight="1">
      <c r="A20" s="130" t="s">
        <v>209</v>
      </c>
      <c r="B20" s="207">
        <v>25.9</v>
      </c>
    </row>
    <row r="21" spans="1:2" ht="12.75" customHeight="1">
      <c r="A21" s="101"/>
      <c r="B21" s="153"/>
    </row>
    <row r="22" spans="1:20" ht="13.5" thickBot="1">
      <c r="A22" s="51"/>
      <c r="B22" s="51"/>
      <c r="C22" s="10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3" ht="13.5" thickTop="1">
      <c r="A23" s="103" t="s">
        <v>161</v>
      </c>
      <c r="B23" s="104" t="s">
        <v>162</v>
      </c>
      <c r="C23" s="104" t="s">
        <v>162</v>
      </c>
      <c r="D23" s="175" t="s">
        <v>165</v>
      </c>
      <c r="E23" s="176" t="s">
        <v>240</v>
      </c>
      <c r="F23" s="175" t="s">
        <v>165</v>
      </c>
      <c r="G23" s="176" t="s">
        <v>241</v>
      </c>
      <c r="H23" s="175" t="s">
        <v>165</v>
      </c>
      <c r="I23" s="176" t="s">
        <v>239</v>
      </c>
      <c r="J23" s="177" t="s">
        <v>165</v>
      </c>
      <c r="K23" s="179" t="s">
        <v>259</v>
      </c>
      <c r="L23" s="180" t="s">
        <v>165</v>
      </c>
      <c r="M23" s="179" t="s">
        <v>260</v>
      </c>
      <c r="N23" s="180" t="s">
        <v>165</v>
      </c>
      <c r="O23" s="179" t="s">
        <v>261</v>
      </c>
      <c r="P23" s="181" t="s">
        <v>253</v>
      </c>
      <c r="Q23" s="182" t="s">
        <v>90</v>
      </c>
      <c r="R23" s="183" t="s">
        <v>255</v>
      </c>
      <c r="S23" s="184" t="s">
        <v>257</v>
      </c>
      <c r="T23" s="185"/>
      <c r="U23" s="69"/>
      <c r="V23" s="69"/>
      <c r="W23" s="69"/>
    </row>
    <row r="24" spans="1:20" ht="12.75">
      <c r="A24" s="105"/>
      <c r="B24" s="106" t="s">
        <v>163</v>
      </c>
      <c r="C24" s="106" t="s">
        <v>164</v>
      </c>
      <c r="D24" s="107" t="s">
        <v>240</v>
      </c>
      <c r="E24" s="108" t="s">
        <v>166</v>
      </c>
      <c r="F24" s="107" t="s">
        <v>241</v>
      </c>
      <c r="G24" s="108" t="s">
        <v>166</v>
      </c>
      <c r="H24" s="107" t="s">
        <v>239</v>
      </c>
      <c r="I24" s="108" t="s">
        <v>166</v>
      </c>
      <c r="J24" s="109" t="s">
        <v>259</v>
      </c>
      <c r="K24" s="108" t="s">
        <v>166</v>
      </c>
      <c r="L24" s="109" t="s">
        <v>260</v>
      </c>
      <c r="M24" s="108" t="s">
        <v>166</v>
      </c>
      <c r="N24" s="109" t="s">
        <v>261</v>
      </c>
      <c r="O24" s="108" t="s">
        <v>166</v>
      </c>
      <c r="P24" s="124" t="s">
        <v>174</v>
      </c>
      <c r="Q24" s="106" t="s">
        <v>254</v>
      </c>
      <c r="R24" s="123" t="s">
        <v>256</v>
      </c>
      <c r="S24" s="139" t="s">
        <v>173</v>
      </c>
      <c r="T24" s="51"/>
    </row>
    <row r="25" spans="1:20" ht="13.5" thickBot="1">
      <c r="A25" s="110"/>
      <c r="B25" s="111"/>
      <c r="C25" s="111"/>
      <c r="D25" s="112" t="s">
        <v>167</v>
      </c>
      <c r="E25" s="113" t="s">
        <v>168</v>
      </c>
      <c r="F25" s="112" t="s">
        <v>167</v>
      </c>
      <c r="G25" s="113" t="s">
        <v>168</v>
      </c>
      <c r="H25" s="112" t="s">
        <v>167</v>
      </c>
      <c r="I25" s="113" t="s">
        <v>168</v>
      </c>
      <c r="J25" s="114" t="s">
        <v>167</v>
      </c>
      <c r="K25" s="113" t="s">
        <v>168</v>
      </c>
      <c r="L25" s="114" t="s">
        <v>167</v>
      </c>
      <c r="M25" s="113" t="s">
        <v>168</v>
      </c>
      <c r="N25" s="114" t="s">
        <v>167</v>
      </c>
      <c r="O25" s="113" t="s">
        <v>168</v>
      </c>
      <c r="P25" s="125" t="s">
        <v>175</v>
      </c>
      <c r="Q25" s="114" t="s">
        <v>168</v>
      </c>
      <c r="R25" s="178" t="s">
        <v>174</v>
      </c>
      <c r="S25" s="140" t="s">
        <v>258</v>
      </c>
      <c r="T25" s="51"/>
    </row>
    <row r="26" spans="1:20" ht="12.75">
      <c r="A26" s="115" t="s">
        <v>187</v>
      </c>
      <c r="B26" s="116" t="s">
        <v>103</v>
      </c>
      <c r="C26" s="116" t="s">
        <v>169</v>
      </c>
      <c r="D26" s="117">
        <f>MAX('SPRAY LAYUP'!D61:'SPRAY LAYUP'!D73)+'STORAGE TANK EMISSIONS'!G43</f>
        <v>11.867918181818181</v>
      </c>
      <c r="E26" s="141">
        <f>$B$10*D26</f>
        <v>74.05580945454545</v>
      </c>
      <c r="F26" s="117">
        <f>MAX('HAND LAYUP'!D61:'HAND LAYUP'!D73)+'STORAGE TANK EMISSIONS'!G80</f>
        <v>10.3962464</v>
      </c>
      <c r="G26" s="141">
        <f>$B$12*F26</f>
        <v>64.87257753600001</v>
      </c>
      <c r="H26" s="117">
        <f>MAX('FILAMENT WINDING'!D61:'FILAMENT WINDING'!D73)+'STORAGE TANK EMISSIONS'!G61</f>
        <v>24.39280944</v>
      </c>
      <c r="I26" s="141">
        <f>$B$14*H26</f>
        <v>114.64620436800001</v>
      </c>
      <c r="J26" s="117">
        <v>0</v>
      </c>
      <c r="K26" s="118">
        <f>$B$16*J26</f>
        <v>0</v>
      </c>
      <c r="L26" s="173">
        <v>0</v>
      </c>
      <c r="M26" s="118">
        <f>$B$18*L26</f>
        <v>0</v>
      </c>
      <c r="N26" s="173">
        <v>0</v>
      </c>
      <c r="O26" s="118">
        <f>$B$20*N26</f>
        <v>0</v>
      </c>
      <c r="P26" s="154">
        <v>110</v>
      </c>
      <c r="Q26" s="126">
        <f>E26+G26+I26+K26+M26+O26</f>
        <v>253.57459135854546</v>
      </c>
      <c r="R26" s="127">
        <f aca="true" t="shared" si="0" ref="R26:R33">Q26/P26</f>
        <v>2.305223557804959</v>
      </c>
      <c r="S26" s="128" t="str">
        <f>IF(Q26&lt;P26,"YES","NO")</f>
        <v>NO</v>
      </c>
      <c r="T26" s="51"/>
    </row>
    <row r="27" spans="1:20" ht="12.75">
      <c r="A27" s="119" t="s">
        <v>202</v>
      </c>
      <c r="B27" s="120" t="s">
        <v>176</v>
      </c>
      <c r="C27" s="120" t="s">
        <v>169</v>
      </c>
      <c r="D27" s="117">
        <f>MAX('SPRAY LAYUP'!D77:'SPRAY LAYUP'!D89)+'STORAGE TANK EMISSIONS'!G44</f>
        <v>0.8084727272727275</v>
      </c>
      <c r="E27" s="118">
        <f aca="true" t="shared" si="1" ref="E27:E33">$B$10*D27</f>
        <v>5.0448698181818195</v>
      </c>
      <c r="F27" s="117">
        <f>MAX('HAND LAYUP'!D77:'HAND LAYUP'!D79)+'STORAGE TANK EMISSIONS'!G81</f>
        <v>0</v>
      </c>
      <c r="G27" s="174">
        <f aca="true" t="shared" si="2" ref="G27:G33">$B$12*F27</f>
        <v>0</v>
      </c>
      <c r="H27" s="117">
        <f>MAX('FILAMENT WINDING'!D77:'FILAMENT WINDING'!D89)+'STORAGE TANK EMISSIONS'!G62</f>
        <v>2.77749744</v>
      </c>
      <c r="I27" s="118">
        <f aca="true" t="shared" si="3" ref="I27:I33">$B$14*H27</f>
        <v>13.054237968</v>
      </c>
      <c r="J27" s="117">
        <v>0</v>
      </c>
      <c r="K27" s="118">
        <f aca="true" t="shared" si="4" ref="K27:K33">$B$16*J27</f>
        <v>0</v>
      </c>
      <c r="L27" s="117">
        <v>0</v>
      </c>
      <c r="M27" s="118">
        <f aca="true" t="shared" si="5" ref="M27:M33">$B$18*L27</f>
        <v>0</v>
      </c>
      <c r="N27" s="117">
        <v>0</v>
      </c>
      <c r="O27" s="118">
        <f aca="true" t="shared" si="6" ref="O27:O33">$B$20*N27</f>
        <v>0</v>
      </c>
      <c r="P27" s="155">
        <v>250</v>
      </c>
      <c r="Q27" s="126">
        <f aca="true" t="shared" si="7" ref="Q27:Q33">E27+G27+I27+K27+M27+O27</f>
        <v>18.09910778618182</v>
      </c>
      <c r="R27" s="129">
        <f t="shared" si="0"/>
        <v>0.07239643114472727</v>
      </c>
      <c r="S27" s="128" t="str">
        <f aca="true" t="shared" si="8" ref="S27:S33">IF(Q27&lt;P27,"YES","NO")</f>
        <v>YES</v>
      </c>
      <c r="T27" s="51"/>
    </row>
    <row r="28" spans="1:20" ht="12.75">
      <c r="A28" s="119" t="s">
        <v>186</v>
      </c>
      <c r="B28" s="120" t="s">
        <v>177</v>
      </c>
      <c r="C28" s="120" t="s">
        <v>169</v>
      </c>
      <c r="D28" s="117">
        <f>MAX('SPRAY LAYUP'!D91:'SPRAY LAYUP'!D92)+'STORAGE TANK EMISSIONS'!G45</f>
        <v>0</v>
      </c>
      <c r="E28" s="118">
        <f t="shared" si="1"/>
        <v>0</v>
      </c>
      <c r="F28" s="117">
        <f>MAX('HAND LAYUP'!D91:'HAND LAYUP'!D92)+'STORAGE TANK EMISSIONS'!G82</f>
        <v>8.0593812</v>
      </c>
      <c r="G28" s="174">
        <f t="shared" si="2"/>
        <v>50.290538688000005</v>
      </c>
      <c r="H28" s="117">
        <f>MAX('FILAMENT WINDING'!D91:'FILAMENT WINDING'!D92)+'STORAGE TANK EMISSIONS'!G63</f>
        <v>0</v>
      </c>
      <c r="I28" s="118">
        <f t="shared" si="3"/>
        <v>0</v>
      </c>
      <c r="J28" s="117">
        <v>0</v>
      </c>
      <c r="K28" s="118">
        <f t="shared" si="4"/>
        <v>0</v>
      </c>
      <c r="L28" s="117">
        <v>0</v>
      </c>
      <c r="M28" s="118">
        <f t="shared" si="5"/>
        <v>0</v>
      </c>
      <c r="N28" s="117">
        <v>0</v>
      </c>
      <c r="O28" s="118">
        <f t="shared" si="6"/>
        <v>0</v>
      </c>
      <c r="P28" s="155">
        <v>340</v>
      </c>
      <c r="Q28" s="126">
        <f t="shared" si="7"/>
        <v>50.290538688000005</v>
      </c>
      <c r="R28" s="129">
        <f t="shared" si="0"/>
        <v>0.14791334908235296</v>
      </c>
      <c r="S28" s="128" t="str">
        <f t="shared" si="8"/>
        <v>YES</v>
      </c>
      <c r="T28" s="51"/>
    </row>
    <row r="29" spans="1:20" ht="12.75">
      <c r="A29" s="119" t="s">
        <v>170</v>
      </c>
      <c r="B29" s="120" t="s">
        <v>171</v>
      </c>
      <c r="C29" s="120" t="s">
        <v>169</v>
      </c>
      <c r="D29" s="117">
        <f>'CLEANUP EMISSIONS '!E44</f>
        <v>13.38</v>
      </c>
      <c r="E29" s="118">
        <f t="shared" si="1"/>
        <v>83.4912</v>
      </c>
      <c r="F29" s="117">
        <f>'CLEANUP EMISSIONS '!E44</f>
        <v>13.38</v>
      </c>
      <c r="G29" s="174">
        <f t="shared" si="2"/>
        <v>83.4912</v>
      </c>
      <c r="H29" s="117">
        <f>'CLEANUP EMISSIONS '!E44</f>
        <v>13.38</v>
      </c>
      <c r="I29" s="118">
        <f t="shared" si="3"/>
        <v>62.886</v>
      </c>
      <c r="J29" s="117">
        <v>0</v>
      </c>
      <c r="K29" s="118">
        <f t="shared" si="4"/>
        <v>0</v>
      </c>
      <c r="L29" s="117">
        <v>0</v>
      </c>
      <c r="M29" s="118">
        <f t="shared" si="5"/>
        <v>0</v>
      </c>
      <c r="N29" s="117">
        <v>0</v>
      </c>
      <c r="O29" s="118">
        <f t="shared" si="6"/>
        <v>0</v>
      </c>
      <c r="P29" s="155">
        <v>5900</v>
      </c>
      <c r="Q29" s="126">
        <f t="shared" si="7"/>
        <v>229.8684</v>
      </c>
      <c r="R29" s="129">
        <f t="shared" si="0"/>
        <v>0.038960745762711864</v>
      </c>
      <c r="S29" s="128" t="str">
        <f t="shared" si="8"/>
        <v>YES</v>
      </c>
      <c r="T29" s="51"/>
    </row>
    <row r="30" spans="1:20" ht="12.75">
      <c r="A30" s="119" t="s">
        <v>183</v>
      </c>
      <c r="B30" s="120" t="s">
        <v>180</v>
      </c>
      <c r="C30" s="120" t="s">
        <v>169</v>
      </c>
      <c r="D30" s="117">
        <f>'CLEANUP EMISSIONS '!F71</f>
        <v>2.394399999999999</v>
      </c>
      <c r="E30" s="118">
        <f t="shared" si="1"/>
        <v>14.941055999999996</v>
      </c>
      <c r="F30" s="117">
        <f>'CLEANUP EMISSIONS '!F71</f>
        <v>2.394399999999999</v>
      </c>
      <c r="G30" s="174">
        <f t="shared" si="2"/>
        <v>14.941055999999996</v>
      </c>
      <c r="H30" s="117">
        <f>'CLEANUP EMISSIONS '!F71</f>
        <v>2.394399999999999</v>
      </c>
      <c r="I30" s="118">
        <f t="shared" si="3"/>
        <v>11.253679999999997</v>
      </c>
      <c r="J30" s="117">
        <v>0</v>
      </c>
      <c r="K30" s="118">
        <f t="shared" si="4"/>
        <v>0</v>
      </c>
      <c r="L30" s="117">
        <v>0</v>
      </c>
      <c r="M30" s="118">
        <f t="shared" si="5"/>
        <v>0</v>
      </c>
      <c r="N30" s="117">
        <v>0</v>
      </c>
      <c r="O30" s="118">
        <f t="shared" si="6"/>
        <v>0</v>
      </c>
      <c r="P30" s="155">
        <v>100</v>
      </c>
      <c r="Q30" s="126">
        <f t="shared" si="7"/>
        <v>41.13579199999999</v>
      </c>
      <c r="R30" s="129">
        <f t="shared" si="0"/>
        <v>0.4113579199999999</v>
      </c>
      <c r="S30" s="128" t="str">
        <f t="shared" si="8"/>
        <v>YES</v>
      </c>
      <c r="T30" s="51"/>
    </row>
    <row r="31" spans="1:20" ht="12.75">
      <c r="A31" s="119" t="s">
        <v>184</v>
      </c>
      <c r="B31" s="120" t="s">
        <v>181</v>
      </c>
      <c r="C31" s="120" t="s">
        <v>169</v>
      </c>
      <c r="D31" s="117">
        <f>'CLEANUP EMISSIONS '!F72</f>
        <v>0.8855999999999997</v>
      </c>
      <c r="E31" s="118">
        <f t="shared" si="1"/>
        <v>5.526143999999999</v>
      </c>
      <c r="F31" s="117">
        <f>'CLEANUP EMISSIONS '!F72</f>
        <v>0.8855999999999997</v>
      </c>
      <c r="G31" s="174">
        <f t="shared" si="2"/>
        <v>5.526143999999999</v>
      </c>
      <c r="H31" s="117">
        <f>'CLEANUP EMISSIONS '!F72</f>
        <v>0.8855999999999997</v>
      </c>
      <c r="I31" s="118">
        <f t="shared" si="3"/>
        <v>4.1623199999999985</v>
      </c>
      <c r="J31" s="117">
        <v>0</v>
      </c>
      <c r="K31" s="118">
        <f t="shared" si="4"/>
        <v>0</v>
      </c>
      <c r="L31" s="117">
        <v>0</v>
      </c>
      <c r="M31" s="118">
        <f t="shared" si="5"/>
        <v>0</v>
      </c>
      <c r="N31" s="117">
        <v>0</v>
      </c>
      <c r="O31" s="118">
        <f t="shared" si="6"/>
        <v>0</v>
      </c>
      <c r="P31" s="155">
        <v>100</v>
      </c>
      <c r="Q31" s="126">
        <f t="shared" si="7"/>
        <v>15.214607999999995</v>
      </c>
      <c r="R31" s="129">
        <f t="shared" si="0"/>
        <v>0.15214607999999996</v>
      </c>
      <c r="S31" s="128" t="str">
        <f t="shared" si="8"/>
        <v>YES</v>
      </c>
      <c r="T31" s="51"/>
    </row>
    <row r="32" spans="1:20" ht="12.75">
      <c r="A32" s="119" t="s">
        <v>185</v>
      </c>
      <c r="B32" s="121" t="s">
        <v>182</v>
      </c>
      <c r="C32" s="122" t="s">
        <v>169</v>
      </c>
      <c r="D32" s="117">
        <f>'CLEANUP EMISSIONS '!F73</f>
        <v>0.8199999999999997</v>
      </c>
      <c r="E32" s="118">
        <f t="shared" si="1"/>
        <v>5.116799999999999</v>
      </c>
      <c r="F32" s="117">
        <f>'CLEANUP EMISSIONS '!F73</f>
        <v>0.8199999999999997</v>
      </c>
      <c r="G32" s="174">
        <f t="shared" si="2"/>
        <v>5.116799999999999</v>
      </c>
      <c r="H32" s="117">
        <f>'CLEANUP EMISSIONS '!F73</f>
        <v>0.8199999999999997</v>
      </c>
      <c r="I32" s="118">
        <f t="shared" si="3"/>
        <v>3.8539999999999988</v>
      </c>
      <c r="J32" s="117">
        <v>0</v>
      </c>
      <c r="K32" s="118">
        <f t="shared" si="4"/>
        <v>0</v>
      </c>
      <c r="L32" s="117">
        <v>0</v>
      </c>
      <c r="M32" s="118">
        <f t="shared" si="5"/>
        <v>0</v>
      </c>
      <c r="N32" s="117">
        <v>0</v>
      </c>
      <c r="O32" s="118">
        <f t="shared" si="6"/>
        <v>0</v>
      </c>
      <c r="P32" s="155">
        <v>100</v>
      </c>
      <c r="Q32" s="126">
        <f t="shared" si="7"/>
        <v>14.087599999999997</v>
      </c>
      <c r="R32" s="129">
        <f t="shared" si="0"/>
        <v>0.14087599999999997</v>
      </c>
      <c r="S32" s="128" t="str">
        <f t="shared" si="8"/>
        <v>YES</v>
      </c>
      <c r="T32" s="51"/>
    </row>
    <row r="33" spans="1:20" ht="12.75">
      <c r="A33" s="119" t="s">
        <v>178</v>
      </c>
      <c r="B33" s="120" t="s">
        <v>179</v>
      </c>
      <c r="C33" s="120" t="s">
        <v>172</v>
      </c>
      <c r="D33" s="117">
        <v>0</v>
      </c>
      <c r="E33" s="118">
        <f t="shared" si="1"/>
        <v>0</v>
      </c>
      <c r="F33" s="117">
        <v>0</v>
      </c>
      <c r="G33" s="174">
        <f t="shared" si="2"/>
        <v>0</v>
      </c>
      <c r="H33" s="117">
        <v>0</v>
      </c>
      <c r="I33" s="118">
        <f t="shared" si="3"/>
        <v>0</v>
      </c>
      <c r="J33" s="117">
        <f>'TRIM AND GRIND'!E17</f>
        <v>0.10530000000000009</v>
      </c>
      <c r="K33" s="118">
        <f t="shared" si="4"/>
        <v>2.727270000000002</v>
      </c>
      <c r="L33" s="117">
        <f>'TRIM AND GRIND'!E35</f>
        <v>0.2418000000000002</v>
      </c>
      <c r="M33" s="118">
        <f t="shared" si="5"/>
        <v>6.129630000000006</v>
      </c>
      <c r="N33" s="117">
        <f>'TRIM AND GRIND'!E53</f>
        <v>0.023400000000000018</v>
      </c>
      <c r="O33" s="118">
        <f t="shared" si="6"/>
        <v>0.6060600000000005</v>
      </c>
      <c r="P33" s="155">
        <v>50</v>
      </c>
      <c r="Q33" s="126">
        <f t="shared" si="7"/>
        <v>9.46296000000001</v>
      </c>
      <c r="R33" s="129">
        <f t="shared" si="0"/>
        <v>0.18925920000000018</v>
      </c>
      <c r="S33" s="128" t="str">
        <f t="shared" si="8"/>
        <v>YES</v>
      </c>
      <c r="T33" s="51"/>
    </row>
    <row r="34" spans="1:20" ht="13.5" thickBot="1">
      <c r="A34" s="131"/>
      <c r="B34" s="132"/>
      <c r="C34" s="132"/>
      <c r="D34" s="133"/>
      <c r="E34" s="134"/>
      <c r="F34" s="133"/>
      <c r="G34" s="135"/>
      <c r="H34" s="133"/>
      <c r="I34" s="167"/>
      <c r="J34" s="133"/>
      <c r="K34" s="135"/>
      <c r="L34" s="133"/>
      <c r="M34" s="135"/>
      <c r="N34" s="133"/>
      <c r="O34" s="135"/>
      <c r="P34" s="156"/>
      <c r="Q34" s="136"/>
      <c r="R34" s="137"/>
      <c r="S34" s="138"/>
      <c r="T34" s="51"/>
    </row>
    <row r="35" ht="13.5" thickTop="1"/>
  </sheetData>
  <mergeCells count="4">
    <mergeCell ref="A1:S1"/>
    <mergeCell ref="A2:S2"/>
    <mergeCell ref="A3:S3"/>
    <mergeCell ref="A4:S4"/>
  </mergeCells>
  <conditionalFormatting sqref="S26:S34">
    <cfRule type="cellIs" priority="1" dxfId="0" operator="equal" stopIfTrue="1">
      <formula>"NO"</formula>
    </cfRule>
  </conditionalFormatting>
  <printOptions/>
  <pageMargins left="0.75" right="0.75" top="1" bottom="1" header="0.5" footer="0.5"/>
  <pageSetup fitToHeight="1" fitToWidth="1" horizontalDpi="600" verticalDpi="600" orientation="landscape" scale="36" r:id="rId1"/>
  <headerFooter alignWithMargins="0">
    <oddFooter>&amp;LOK INDUSTRIAL COMPOSITES EMISSION CALCULATIONS.XLS&amp;RPRINTED ON  RECYCLED PAPER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13" width="12.7109375" style="0" customWidth="1"/>
  </cols>
  <sheetData>
    <row r="1" spans="1:14" ht="18">
      <c r="A1" s="1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8">
      <c r="A2" s="2" t="s">
        <v>206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8">
      <c r="A3" s="2" t="s">
        <v>205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8">
      <c r="A4" s="2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8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8">
      <c r="A6" s="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3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">
      <c r="A8" s="7" t="s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10" spans="1:13" ht="36">
      <c r="A10" s="8" t="s">
        <v>8</v>
      </c>
      <c r="B10" s="9" t="s">
        <v>9</v>
      </c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7" ht="12.75">
      <c r="A11" s="8" t="s">
        <v>10</v>
      </c>
      <c r="B11" s="10">
        <v>100</v>
      </c>
      <c r="C11" s="10"/>
      <c r="D11" s="8" t="s">
        <v>11</v>
      </c>
      <c r="E11" s="8"/>
      <c r="F11" s="8"/>
      <c r="G11" s="8"/>
    </row>
    <row r="12" spans="1:7" ht="12.75">
      <c r="A12" s="8" t="s">
        <v>265</v>
      </c>
      <c r="B12" s="10">
        <v>200</v>
      </c>
      <c r="C12" s="10"/>
      <c r="D12" s="8" t="s">
        <v>12</v>
      </c>
      <c r="E12" s="8"/>
      <c r="F12" s="8"/>
      <c r="G12" s="8"/>
    </row>
    <row r="13" spans="1:7" ht="12.75">
      <c r="A13" s="8" t="s">
        <v>13</v>
      </c>
      <c r="B13" s="10" t="s">
        <v>14</v>
      </c>
      <c r="C13" s="10"/>
      <c r="D13" s="8" t="s">
        <v>15</v>
      </c>
      <c r="E13" s="8"/>
      <c r="F13" s="8"/>
      <c r="G13" s="8"/>
    </row>
    <row r="14" spans="1:7" ht="12.75">
      <c r="A14" s="8"/>
      <c r="B14" s="8"/>
      <c r="C14" s="8"/>
      <c r="D14" s="8"/>
      <c r="E14" s="8"/>
      <c r="F14" s="8"/>
      <c r="G14" s="8"/>
    </row>
    <row r="15" spans="1:7" ht="13.5" thickBot="1">
      <c r="A15" s="8"/>
      <c r="B15" s="8"/>
      <c r="C15" s="8"/>
      <c r="D15" s="8"/>
      <c r="E15" s="8"/>
      <c r="F15" s="8"/>
      <c r="G15" s="8"/>
    </row>
    <row r="16" spans="1:13" ht="61.5" thickBot="1" thickTop="1">
      <c r="A16" s="11" t="s">
        <v>16</v>
      </c>
      <c r="B16" s="12" t="s">
        <v>17</v>
      </c>
      <c r="C16" s="12" t="s">
        <v>25</v>
      </c>
      <c r="D16" s="12" t="s">
        <v>26</v>
      </c>
      <c r="E16" s="12" t="s">
        <v>27</v>
      </c>
      <c r="F16" s="12" t="s">
        <v>28</v>
      </c>
      <c r="G16" s="12" t="s">
        <v>18</v>
      </c>
      <c r="H16" s="12" t="s">
        <v>19</v>
      </c>
      <c r="I16" s="12" t="s">
        <v>20</v>
      </c>
      <c r="J16" s="12" t="s">
        <v>203</v>
      </c>
      <c r="K16" s="12" t="s">
        <v>21</v>
      </c>
      <c r="L16" s="12" t="s">
        <v>22</v>
      </c>
      <c r="M16" s="13" t="s">
        <v>23</v>
      </c>
    </row>
    <row r="17" spans="1:13" ht="12.75">
      <c r="A17" s="14"/>
      <c r="B17" s="157"/>
      <c r="C17" s="158"/>
      <c r="D17" s="158"/>
      <c r="E17" s="158"/>
      <c r="F17" s="15"/>
      <c r="G17" s="158"/>
      <c r="H17" s="15"/>
      <c r="I17" s="15"/>
      <c r="J17" s="158"/>
      <c r="K17" s="158"/>
      <c r="L17" s="15"/>
      <c r="M17" s="16"/>
    </row>
    <row r="18" spans="1:13" ht="12.75">
      <c r="A18" s="14" t="s">
        <v>228</v>
      </c>
      <c r="B18" s="159">
        <v>15000</v>
      </c>
      <c r="C18" s="160">
        <v>1</v>
      </c>
      <c r="D18" s="160">
        <v>7</v>
      </c>
      <c r="E18" s="160">
        <v>12</v>
      </c>
      <c r="F18" s="17">
        <f>C18*D18*E18</f>
        <v>84</v>
      </c>
      <c r="G18" s="160">
        <v>0</v>
      </c>
      <c r="H18" s="17">
        <f>F18+G18</f>
        <v>84</v>
      </c>
      <c r="I18" s="18">
        <f>B18/H18</f>
        <v>178.57142857142858</v>
      </c>
      <c r="J18" s="160" t="s">
        <v>44</v>
      </c>
      <c r="K18" s="160" t="s">
        <v>24</v>
      </c>
      <c r="L18" s="18">
        <f>IF(K18="NO",100,200)</f>
        <v>100</v>
      </c>
      <c r="M18" s="19" t="str">
        <f>IF(I18&gt;L18,"YES","NO")</f>
        <v>YES</v>
      </c>
    </row>
    <row r="19" spans="1:13" ht="12.75">
      <c r="A19" s="14" t="s">
        <v>230</v>
      </c>
      <c r="B19" s="161">
        <v>40000</v>
      </c>
      <c r="C19" s="162">
        <v>1</v>
      </c>
      <c r="D19" s="162">
        <v>7</v>
      </c>
      <c r="E19" s="162">
        <v>12</v>
      </c>
      <c r="F19" s="17">
        <f>C19*D19*E19</f>
        <v>84</v>
      </c>
      <c r="G19" s="162">
        <v>0</v>
      </c>
      <c r="H19" s="17">
        <f>F19+G19</f>
        <v>84</v>
      </c>
      <c r="I19" s="18">
        <f>B19/H19</f>
        <v>476.1904761904762</v>
      </c>
      <c r="J19" s="165" t="s">
        <v>44</v>
      </c>
      <c r="K19" s="165" t="s">
        <v>24</v>
      </c>
      <c r="L19" s="18">
        <f>IF(K19="NO",100,200)</f>
        <v>100</v>
      </c>
      <c r="M19" s="19" t="str">
        <f>IF(I19&gt;L19,"YES","NO")</f>
        <v>YES</v>
      </c>
    </row>
    <row r="20" spans="1:13" ht="12.75">
      <c r="A20" s="14" t="s">
        <v>229</v>
      </c>
      <c r="B20" s="161">
        <v>15000</v>
      </c>
      <c r="C20" s="162">
        <v>1</v>
      </c>
      <c r="D20" s="162">
        <v>20</v>
      </c>
      <c r="E20" s="162">
        <v>20</v>
      </c>
      <c r="F20" s="17">
        <f>C20*D20*E20</f>
        <v>400</v>
      </c>
      <c r="G20" s="162">
        <v>0</v>
      </c>
      <c r="H20" s="17">
        <f>F20+G20</f>
        <v>400</v>
      </c>
      <c r="I20" s="18">
        <f>B20/H20</f>
        <v>37.5</v>
      </c>
      <c r="J20" s="165" t="s">
        <v>44</v>
      </c>
      <c r="K20" s="165" t="s">
        <v>24</v>
      </c>
      <c r="L20" s="18">
        <f>IF(K20="NO",100,200)</f>
        <v>100</v>
      </c>
      <c r="M20" s="19" t="str">
        <f>IF(I20&gt;L20,"YES","NO")</f>
        <v>NO</v>
      </c>
    </row>
    <row r="21" spans="1:13" ht="12.75">
      <c r="A21" s="14"/>
      <c r="B21" s="161"/>
      <c r="C21" s="162"/>
      <c r="D21" s="162"/>
      <c r="E21" s="162"/>
      <c r="F21" s="17"/>
      <c r="G21" s="162"/>
      <c r="H21" s="17"/>
      <c r="I21" s="18"/>
      <c r="J21" s="165"/>
      <c r="K21" s="165"/>
      <c r="L21" s="18"/>
      <c r="M21" s="19"/>
    </row>
    <row r="22" spans="1:13" ht="12.75">
      <c r="A22" s="14" t="s">
        <v>266</v>
      </c>
      <c r="B22" s="161">
        <v>10000</v>
      </c>
      <c r="C22" s="162">
        <v>1</v>
      </c>
      <c r="D22" s="162">
        <v>12</v>
      </c>
      <c r="E22" s="162">
        <v>8</v>
      </c>
      <c r="F22" s="17">
        <f>C22*D22*E22</f>
        <v>96</v>
      </c>
      <c r="G22" s="162">
        <v>0</v>
      </c>
      <c r="H22" s="17">
        <f>F22+G22</f>
        <v>96</v>
      </c>
      <c r="I22" s="18">
        <f>B22/H22</f>
        <v>104.16666666666667</v>
      </c>
      <c r="J22" s="165" t="s">
        <v>24</v>
      </c>
      <c r="K22" s="165" t="s">
        <v>24</v>
      </c>
      <c r="L22" s="18">
        <f>IF(K22="NO",100,200)</f>
        <v>100</v>
      </c>
      <c r="M22" s="19" t="str">
        <f>IF(I22&gt;L22,"YES","NO")</f>
        <v>YES</v>
      </c>
    </row>
    <row r="23" spans="1:13" ht="12.75">
      <c r="A23" s="14" t="s">
        <v>268</v>
      </c>
      <c r="B23" s="161">
        <v>20000</v>
      </c>
      <c r="C23" s="162">
        <v>1</v>
      </c>
      <c r="D23" s="162">
        <v>12</v>
      </c>
      <c r="E23" s="162">
        <v>8</v>
      </c>
      <c r="F23" s="17">
        <f>C23*D23*E23</f>
        <v>96</v>
      </c>
      <c r="G23" s="162">
        <v>0</v>
      </c>
      <c r="H23" s="17">
        <f>F23+G23</f>
        <v>96</v>
      </c>
      <c r="I23" s="18">
        <f>B23/H23</f>
        <v>208.33333333333334</v>
      </c>
      <c r="J23" s="165" t="s">
        <v>24</v>
      </c>
      <c r="K23" s="165" t="s">
        <v>24</v>
      </c>
      <c r="L23" s="18">
        <f>IF(K23="NO",100,200)</f>
        <v>100</v>
      </c>
      <c r="M23" s="19" t="str">
        <f>IF(I23&gt;L23,"YES","NO")</f>
        <v>YES</v>
      </c>
    </row>
    <row r="24" spans="1:13" ht="12.75">
      <c r="A24" s="14" t="s">
        <v>269</v>
      </c>
      <c r="B24" s="161">
        <v>10000</v>
      </c>
      <c r="C24" s="162">
        <v>1</v>
      </c>
      <c r="D24" s="162">
        <v>15</v>
      </c>
      <c r="E24" s="162">
        <v>13</v>
      </c>
      <c r="F24" s="17">
        <f>C24*D24*E24</f>
        <v>195</v>
      </c>
      <c r="G24" s="162">
        <v>0</v>
      </c>
      <c r="H24" s="17">
        <f>F24+G24</f>
        <v>195</v>
      </c>
      <c r="I24" s="18">
        <f>B24/H24</f>
        <v>51.282051282051285</v>
      </c>
      <c r="J24" s="165" t="s">
        <v>24</v>
      </c>
      <c r="K24" s="165" t="s">
        <v>24</v>
      </c>
      <c r="L24" s="18">
        <f>IF(K24="NO",100,200)</f>
        <v>100</v>
      </c>
      <c r="M24" s="19" t="str">
        <f>IF(I24&gt;L24,"YES","NO")</f>
        <v>NO</v>
      </c>
    </row>
    <row r="25" spans="1:13" ht="12.75">
      <c r="A25" s="14"/>
      <c r="B25" s="161"/>
      <c r="C25" s="162"/>
      <c r="D25" s="162"/>
      <c r="E25" s="162"/>
      <c r="F25" s="17"/>
      <c r="G25" s="162"/>
      <c r="H25" s="17"/>
      <c r="I25" s="18"/>
      <c r="J25" s="165"/>
      <c r="K25" s="165"/>
      <c r="L25" s="18"/>
      <c r="M25" s="19"/>
    </row>
    <row r="26" spans="1:13" ht="12.75">
      <c r="A26" s="14" t="s">
        <v>204</v>
      </c>
      <c r="B26" s="161">
        <f>SUM(B18:B25)</f>
        <v>110000</v>
      </c>
      <c r="C26" s="162">
        <v>4</v>
      </c>
      <c r="D26" s="162">
        <v>16</v>
      </c>
      <c r="E26" s="162">
        <v>14</v>
      </c>
      <c r="F26" s="17">
        <f>C26*D26*E26</f>
        <v>896</v>
      </c>
      <c r="G26" s="162">
        <v>0</v>
      </c>
      <c r="H26" s="17">
        <f>F26+G26</f>
        <v>896</v>
      </c>
      <c r="I26" s="18">
        <f>B26/H26</f>
        <v>122.76785714285714</v>
      </c>
      <c r="J26" s="165" t="s">
        <v>44</v>
      </c>
      <c r="K26" s="165" t="s">
        <v>24</v>
      </c>
      <c r="L26" s="18">
        <v>100</v>
      </c>
      <c r="M26" s="19" t="str">
        <f>IF(I26&gt;L26,"YES","NO")</f>
        <v>YES</v>
      </c>
    </row>
    <row r="27" spans="1:13" ht="13.5" thickBot="1">
      <c r="A27" s="20"/>
      <c r="B27" s="163"/>
      <c r="C27" s="164"/>
      <c r="D27" s="164"/>
      <c r="E27" s="164"/>
      <c r="F27" s="21"/>
      <c r="G27" s="164"/>
      <c r="H27" s="21"/>
      <c r="I27" s="21"/>
      <c r="J27" s="164"/>
      <c r="K27" s="164"/>
      <c r="L27" s="21"/>
      <c r="M27" s="22"/>
    </row>
    <row r="28" ht="13.5" thickTop="1"/>
    <row r="30" ht="16.5">
      <c r="A30" s="23"/>
    </row>
  </sheetData>
  <printOptions/>
  <pageMargins left="0.75" right="0.75" top="1" bottom="1" header="0.5" footer="0.5"/>
  <pageSetup fitToHeight="1" fitToWidth="1" horizontalDpi="600" verticalDpi="600" orientation="landscape" scale="70" r:id="rId1"/>
  <headerFooter alignWithMargins="0">
    <oddFooter>&amp;LOK INDUSTRIAL COMPOSITES EMISSION CALCULATIONS.XLS&amp;RPRINTED ON RECYCLED PAPER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