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GELCOAT SPRAY" sheetId="1" r:id="rId1"/>
    <sheet name="MARBLE CASTING" sheetId="2" r:id="rId2"/>
    <sheet name="CLEANUP EMISSIONS " sheetId="3" r:id="rId3"/>
    <sheet name="TRIM AND GRIND" sheetId="4" r:id="rId4"/>
    <sheet name="STORAGE TANK EMISSIONS" sheetId="5" r:id="rId5"/>
    <sheet name="EMISSION TOTALS" sheetId="6" r:id="rId6"/>
    <sheet name="OFF PROPERTY IMPACTS ANALYSIS" sheetId="7" r:id="rId7"/>
    <sheet name="CAPTURE OF EMISSIONS " sheetId="8" r:id="rId8"/>
  </sheets>
  <definedNames/>
  <calcPr fullCalcOnLoad="1"/>
</workbook>
</file>

<file path=xl/sharedStrings.xml><?xml version="1.0" encoding="utf-8"?>
<sst xmlns="http://schemas.openxmlformats.org/spreadsheetml/2006/main" count="484" uniqueCount="248">
  <si>
    <t>TABLE 1</t>
  </si>
  <si>
    <t>TABLE 2</t>
  </si>
  <si>
    <t>TABLE 3</t>
  </si>
  <si>
    <t>TABLE 4</t>
  </si>
  <si>
    <t>TABLE 6</t>
  </si>
  <si>
    <t>TABLE 7</t>
  </si>
  <si>
    <t>OK MARBLE COMPANY</t>
  </si>
  <si>
    <t>FUZZ FACILITY</t>
  </si>
  <si>
    <t>BOOTH AND BUILDING CAPTURE VELOCITIES</t>
  </si>
  <si>
    <t xml:space="preserve">Emission Capture Criteria  </t>
  </si>
  <si>
    <t>Criteria Source</t>
  </si>
  <si>
    <t>Face Velocity for Capture (ft/min)</t>
  </si>
  <si>
    <t>TCEQ</t>
  </si>
  <si>
    <t xml:space="preserve">Capture velocity guidance  </t>
  </si>
  <si>
    <t>EPA Procedure T</t>
  </si>
  <si>
    <t>Capture velocity for permanent total enclosures (referenced in 40 CFR 63, Subpart WWWW)</t>
  </si>
  <si>
    <t xml:space="preserve">ACGIH Industrial Ventilation </t>
  </si>
  <si>
    <t>100-200</t>
  </si>
  <si>
    <t>Table 3.1 for spray booths</t>
  </si>
  <si>
    <t xml:space="preserve">Process </t>
  </si>
  <si>
    <t>Ventilation System Flow Rate (CFM)</t>
  </si>
  <si>
    <t>Area of Other Openings(sq. ft.)</t>
  </si>
  <si>
    <t>Total Flow Area (sq. ft.)</t>
  </si>
  <si>
    <t>Face Velocity Across Openings (ft/min)</t>
  </si>
  <si>
    <t xml:space="preserve">VOC Emission Controls Required to Meet Subpart WWWW </t>
  </si>
  <si>
    <t>Applicable Capture Velocity (ft/min)</t>
  </si>
  <si>
    <t>Capture of Emissions</t>
  </si>
  <si>
    <t>Gelcoat Booth</t>
  </si>
  <si>
    <t>NO</t>
  </si>
  <si>
    <t>Trim and Grind Booth</t>
  </si>
  <si>
    <t>Number of Openings</t>
  </si>
  <si>
    <t>Opening Width (ft.)</t>
  </si>
  <si>
    <t>Opening Height (ft.)</t>
  </si>
  <si>
    <t>Open Area (sq. ft.)</t>
  </si>
  <si>
    <t xml:space="preserve">GELCOAT EMISSIONS </t>
  </si>
  <si>
    <t>Parameters</t>
  </si>
  <si>
    <t>Data</t>
  </si>
  <si>
    <t>Units</t>
  </si>
  <si>
    <t>Information Source</t>
  </si>
  <si>
    <t>gal/hr</t>
  </si>
  <si>
    <t>gal/yr</t>
  </si>
  <si>
    <t>lbs/gal</t>
  </si>
  <si>
    <t>SHORT TERM AND ANNUAL VOC, EXEMPT SOLVENT AND PM EMISSIONS</t>
  </si>
  <si>
    <t>SHORT TERM AND ANNUAL VOC EMISSIONS</t>
  </si>
  <si>
    <t>OK Marble Data</t>
  </si>
  <si>
    <t>Maximum Gelcoat Styrene Content</t>
  </si>
  <si>
    <t>MSDS</t>
  </si>
  <si>
    <t>Maximum Gelcoat Methyl methacrylate Content</t>
  </si>
  <si>
    <t>ton/hr</t>
  </si>
  <si>
    <t>ton/yr</t>
  </si>
  <si>
    <t xml:space="preserve">     Gelcoat Application</t>
  </si>
  <si>
    <t xml:space="preserve">     Gelcoat Controlled Spray Application</t>
  </si>
  <si>
    <t xml:space="preserve">     Gelcoat Non-atomized Application</t>
  </si>
  <si>
    <t>YES</t>
  </si>
  <si>
    <t>Short Term Emissions</t>
  </si>
  <si>
    <t>Annual Emissions</t>
  </si>
  <si>
    <t>Maximum Annual Gelcoat Usage</t>
  </si>
  <si>
    <t>SHORT TERM AND ANNUAL VOC AND EXEMPT SOLVENT EMISSIONS</t>
  </si>
  <si>
    <t xml:space="preserve">CLEANUP EMISSIONS </t>
  </si>
  <si>
    <t>Maximum Short Term Resin Application Rate</t>
  </si>
  <si>
    <t>Maximum Gelcoat Short Term Application Rate</t>
  </si>
  <si>
    <t>Maximum Annual Resin Usage</t>
  </si>
  <si>
    <t>Maximum Resin Styrene Content</t>
  </si>
  <si>
    <t>Resin Emission Factors</t>
  </si>
  <si>
    <t>AP-42 Section 4.4</t>
  </si>
  <si>
    <t>Annual</t>
  </si>
  <si>
    <t xml:space="preserve">     Short Term</t>
  </si>
  <si>
    <t xml:space="preserve">     Annual</t>
  </si>
  <si>
    <t>VOC Emissions</t>
  </si>
  <si>
    <t>Max VOC Content</t>
  </si>
  <si>
    <t>Total VOC Emissions</t>
  </si>
  <si>
    <t>(gal/hr)</t>
  </si>
  <si>
    <t>(lbs/gal)</t>
  </si>
  <si>
    <t>(lbs/hr)</t>
  </si>
  <si>
    <t>lbs VOC/hr</t>
  </si>
  <si>
    <t>(gal/yr)</t>
  </si>
  <si>
    <t>(tons/yr)</t>
  </si>
  <si>
    <t>tons VOC/yr</t>
  </si>
  <si>
    <t>Application Rate</t>
  </si>
  <si>
    <t>(ton/yr)</t>
  </si>
  <si>
    <t>Emission Factor</t>
  </si>
  <si>
    <t>(lbs/lb)</t>
  </si>
  <si>
    <t>(tons/ton)</t>
  </si>
  <si>
    <t>lb/hr</t>
  </si>
  <si>
    <t>(lb/hr)</t>
  </si>
  <si>
    <t>Resin Styrene Content</t>
  </si>
  <si>
    <t xml:space="preserve">MARBLE CASTING EMISSIONS </t>
  </si>
  <si>
    <t>Maximum Annual Acetone Usage</t>
  </si>
  <si>
    <t>Maximum Short Term Acetone Usage</t>
  </si>
  <si>
    <t>Maximum Short Term DBE Usage</t>
  </si>
  <si>
    <t>Maximum Annual DBE Usage</t>
  </si>
  <si>
    <t>Fraction of Acetone Recovered</t>
  </si>
  <si>
    <t>gal/gal</t>
  </si>
  <si>
    <t>Short-Term</t>
  </si>
  <si>
    <t>Exempt Solvent</t>
  </si>
  <si>
    <t>Max Ex Solvent Content</t>
  </si>
  <si>
    <t>Total Exempt Solvent Emissions</t>
  </si>
  <si>
    <t>lbs Exempt Solvent/hr</t>
  </si>
  <si>
    <t>tons Exempt Solvent/yr</t>
  </si>
  <si>
    <t xml:space="preserve">Maximum VOC Content </t>
  </si>
  <si>
    <t>Maximum Exempt Solvent Content</t>
  </si>
  <si>
    <t>Fraction of DBE Recovered</t>
  </si>
  <si>
    <t>Use Rate</t>
  </si>
  <si>
    <t>(lb/lb)</t>
  </si>
  <si>
    <t>1-Fraction Recovered</t>
  </si>
  <si>
    <t>SHORT TERM AND ANNUAL PM EMISSIONS</t>
  </si>
  <si>
    <t xml:space="preserve">TRIM AND GRIND EMISSIONS </t>
  </si>
  <si>
    <t>VOC</t>
  </si>
  <si>
    <t>Emission Rates</t>
  </si>
  <si>
    <t>Operation</t>
  </si>
  <si>
    <t>(tpy)</t>
  </si>
  <si>
    <t>TOTAL</t>
  </si>
  <si>
    <t xml:space="preserve">Exempt Solvent </t>
  </si>
  <si>
    <t>Coating Type</t>
  </si>
  <si>
    <t>Particulate Matter</t>
  </si>
  <si>
    <t>TABLE 8</t>
  </si>
  <si>
    <t>-</t>
  </si>
  <si>
    <t>PM Emissions</t>
  </si>
  <si>
    <t>(1 - Filter Efficiency)</t>
  </si>
  <si>
    <t>Total PM Emissions</t>
  </si>
  <si>
    <t>lbs PM/hr</t>
  </si>
  <si>
    <t>(%)</t>
  </si>
  <si>
    <t>tons PM/yr</t>
  </si>
  <si>
    <t>Short Term</t>
  </si>
  <si>
    <t>Maximum Gelcoat Alpha methyl styrene Content</t>
  </si>
  <si>
    <t>YES/NO</t>
  </si>
  <si>
    <t>Styrene</t>
  </si>
  <si>
    <t>Alpha Methyl Styrene</t>
  </si>
  <si>
    <t>Methyl Methacrylate</t>
  </si>
  <si>
    <t>(lb/ton)</t>
  </si>
  <si>
    <t>Resin Consumption</t>
  </si>
  <si>
    <t>Vendor Data</t>
  </si>
  <si>
    <t>Booth Filter Efficiency</t>
  </si>
  <si>
    <t>Maximum Trim and Grind Operating Schedule</t>
  </si>
  <si>
    <t>hr/yr</t>
  </si>
  <si>
    <t>Facility Operating Schedule</t>
  </si>
  <si>
    <t>(hr/yr)</t>
  </si>
  <si>
    <t>TABLE 5</t>
  </si>
  <si>
    <t xml:space="preserve">STORAGE TANK EMISSIONS </t>
  </si>
  <si>
    <t>OK Marble</t>
  </si>
  <si>
    <t>gal</t>
  </si>
  <si>
    <t>Turnovers/yr</t>
  </si>
  <si>
    <t>EPA Tanks 4.09</t>
  </si>
  <si>
    <t xml:space="preserve">Tank Operating Schedule </t>
  </si>
  <si>
    <t>Months/yr</t>
  </si>
  <si>
    <t>lb/mo</t>
  </si>
  <si>
    <t>lb/yr</t>
  </si>
  <si>
    <t>Maximum Annual Emission Rate</t>
  </si>
  <si>
    <r>
      <t>Maximum Tank Fill Rate  - FR</t>
    </r>
    <r>
      <rPr>
        <vertAlign val="subscript"/>
        <sz val="10"/>
        <rFont val="Arial"/>
        <family val="2"/>
      </rPr>
      <t>M</t>
    </r>
  </si>
  <si>
    <r>
      <t>Tank Capacity - T</t>
    </r>
    <r>
      <rPr>
        <vertAlign val="subscript"/>
        <sz val="10"/>
        <rFont val="Arial"/>
        <family val="2"/>
      </rPr>
      <t>CG</t>
    </r>
  </si>
  <si>
    <t>Turnovers - N</t>
  </si>
  <si>
    <r>
      <t xml:space="preserve"> Working Loss - Hottest Month - L</t>
    </r>
    <r>
      <rPr>
        <vertAlign val="subscript"/>
        <sz val="10"/>
        <rFont val="Arial"/>
        <family val="2"/>
      </rPr>
      <t>W</t>
    </r>
  </si>
  <si>
    <r>
      <t>Maximum Short Term Emission Rate - 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X FR</t>
    </r>
    <r>
      <rPr>
        <vertAlign val="subscript"/>
        <sz val="10"/>
        <rFont val="Arial"/>
        <family val="2"/>
      </rPr>
      <t xml:space="preserve">M </t>
    </r>
    <r>
      <rPr>
        <sz val="10"/>
        <rFont val="Arial"/>
        <family val="2"/>
      </rPr>
      <t>/ N X T</t>
    </r>
    <r>
      <rPr>
        <vertAlign val="subscript"/>
        <sz val="10"/>
        <rFont val="Arial"/>
        <family val="2"/>
      </rPr>
      <t>CG</t>
    </r>
  </si>
  <si>
    <r>
      <t>L</t>
    </r>
    <r>
      <rPr>
        <vertAlign val="subscript"/>
        <sz val="10"/>
        <rFont val="Arial"/>
        <family val="2"/>
      </rPr>
      <t>W</t>
    </r>
  </si>
  <si>
    <r>
      <t>FR</t>
    </r>
    <r>
      <rPr>
        <vertAlign val="subscript"/>
        <sz val="10"/>
        <rFont val="Arial"/>
        <family val="2"/>
      </rPr>
      <t>M</t>
    </r>
  </si>
  <si>
    <t>N</t>
  </si>
  <si>
    <r>
      <t>T</t>
    </r>
    <r>
      <rPr>
        <vertAlign val="subscript"/>
        <sz val="10"/>
        <rFont val="Arial"/>
        <family val="2"/>
      </rPr>
      <t>CG</t>
    </r>
  </si>
  <si>
    <t>(gal)</t>
  </si>
  <si>
    <t>(Turnovers/yr)</t>
  </si>
  <si>
    <t>(lb/mo)</t>
  </si>
  <si>
    <t>(mo/yr)</t>
  </si>
  <si>
    <t>Operating Schedule</t>
  </si>
  <si>
    <t>(lb/yr)</t>
  </si>
  <si>
    <t xml:space="preserve">Total VOC Emissions </t>
  </si>
  <si>
    <t>ton VOC/yr</t>
  </si>
  <si>
    <t>Unit Conversion</t>
  </si>
  <si>
    <t>ton/lb</t>
  </si>
  <si>
    <t xml:space="preserve">     Manual</t>
  </si>
  <si>
    <t xml:space="preserve">     Manual     </t>
  </si>
  <si>
    <t>Gelcoat Application Technique - Select Only One</t>
  </si>
  <si>
    <t>Emission Rate</t>
  </si>
  <si>
    <t>(ton/hr)</t>
  </si>
  <si>
    <t>STYRENE EMISSION FACTORS</t>
  </si>
  <si>
    <t>METHYL METHACRYLATE EMISSION FACTORS</t>
  </si>
  <si>
    <t>ALPHA METHYL STRYENE EMISSION FACTORS</t>
  </si>
  <si>
    <t>NO SELECTION NEEDED</t>
  </si>
  <si>
    <t xml:space="preserve">Methyl Methacrylate </t>
  </si>
  <si>
    <t>TOTAL VOC EMISSION RATE =</t>
  </si>
  <si>
    <t>tpy</t>
  </si>
  <si>
    <t>SHORT TERM IMPACTS EVALUATION</t>
  </si>
  <si>
    <t>EPN TRIM</t>
  </si>
  <si>
    <t>Trim and Grind</t>
  </si>
  <si>
    <r>
      <t>Equipment Cleanup</t>
    </r>
    <r>
      <rPr>
        <sz val="10"/>
        <color indexed="8"/>
        <rFont val="Arial"/>
        <family val="2"/>
      </rPr>
      <t xml:space="preserve"> </t>
    </r>
  </si>
  <si>
    <t>EPN BOOTH STACK</t>
  </si>
  <si>
    <t>Marble Casting</t>
  </si>
  <si>
    <t>Storage Tank Filling</t>
  </si>
  <si>
    <r>
      <t>Equipment Cleanup</t>
    </r>
    <r>
      <rPr>
        <vertAlign val="superscript"/>
        <sz val="10"/>
        <color indexed="8"/>
        <rFont val="Arial"/>
        <family val="2"/>
      </rPr>
      <t>1</t>
    </r>
  </si>
  <si>
    <r>
      <t>Gelcoat Application</t>
    </r>
    <r>
      <rPr>
        <sz val="10"/>
        <color indexed="8"/>
        <rFont val="Arial"/>
        <family val="2"/>
      </rPr>
      <t xml:space="preserve"> </t>
    </r>
  </si>
  <si>
    <r>
      <t>1</t>
    </r>
    <r>
      <rPr>
        <sz val="10"/>
        <color indexed="8"/>
        <rFont val="Arial"/>
        <family val="2"/>
      </rPr>
      <t xml:space="preserve"> Short term cleanup solvent emissions never occur during gelcoat application or marble casting </t>
    </r>
  </si>
  <si>
    <t xml:space="preserve">    and are less than the short term production emission rates .</t>
  </si>
  <si>
    <t>SOURCE</t>
  </si>
  <si>
    <t>WORST-CASE MODELED</t>
  </si>
  <si>
    <t>GROUPING</t>
  </si>
  <si>
    <r>
      <t>UNIT IMPACT</t>
    </r>
    <r>
      <rPr>
        <b/>
        <sz val="10"/>
        <color indexed="8"/>
        <rFont val="Arial"/>
        <family val="2"/>
      </rPr>
      <t xml:space="preserve"> [ug/m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/lb/hr]</t>
    </r>
  </si>
  <si>
    <t>CAS NO.</t>
  </si>
  <si>
    <t>INGREDIENT</t>
  </si>
  <si>
    <t>NAME</t>
  </si>
  <si>
    <t>TYPE</t>
  </si>
  <si>
    <t>EMISSION RATE</t>
  </si>
  <si>
    <t>GLCs</t>
  </si>
  <si>
    <r>
      <t xml:space="preserve"> [LB/HR</t>
    </r>
    <r>
      <rPr>
        <b/>
        <sz val="8"/>
        <color indexed="8"/>
        <rFont val="Arial"/>
        <family val="2"/>
      </rPr>
      <t>]</t>
    </r>
  </si>
  <si>
    <r>
      <t xml:space="preserve"> [ug/m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]</t>
    </r>
  </si>
  <si>
    <t>V</t>
  </si>
  <si>
    <t>67-64-1</t>
  </si>
  <si>
    <t>Acetone</t>
  </si>
  <si>
    <t>P</t>
  </si>
  <si>
    <t>CUMMULATIVE</t>
  </si>
  <si>
    <t xml:space="preserve">LESS THAN </t>
  </si>
  <si>
    <t>1-HOUR ESL</t>
  </si>
  <si>
    <t xml:space="preserve">OFF-SITE </t>
  </si>
  <si>
    <t>FRACTION OF</t>
  </si>
  <si>
    <t>ESL?</t>
  </si>
  <si>
    <t>ESL</t>
  </si>
  <si>
    <t>(Y/N)</t>
  </si>
  <si>
    <r>
      <t>[ug/m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]</t>
    </r>
  </si>
  <si>
    <t>GELCOAT BOOTH</t>
  </si>
  <si>
    <t>TRIM AND GRIND BOOTH</t>
  </si>
  <si>
    <t>Alpha methyl styrene</t>
  </si>
  <si>
    <t>Methylmethacrylate</t>
  </si>
  <si>
    <t>NA</t>
  </si>
  <si>
    <t>Plastic Resin Dust</t>
  </si>
  <si>
    <t>TRIM  BOOTH</t>
  </si>
  <si>
    <t>Dimethyl glutarate</t>
  </si>
  <si>
    <t>Dimethyl succinate</t>
  </si>
  <si>
    <t>Dimethyl adipate</t>
  </si>
  <si>
    <t>1119-40-0</t>
  </si>
  <si>
    <t>106-65-0</t>
  </si>
  <si>
    <t>627-93-0</t>
  </si>
  <si>
    <t>82-62-6</t>
  </si>
  <si>
    <t>100-42-5</t>
  </si>
  <si>
    <t>Wt %</t>
  </si>
  <si>
    <t>DBE Speciation</t>
  </si>
  <si>
    <t>Speciated DBE Emission Rates</t>
  </si>
  <si>
    <t>Species Weight Fraction</t>
  </si>
  <si>
    <t>(Wt %)</t>
  </si>
  <si>
    <t>Max Product Density</t>
  </si>
  <si>
    <t>Density</t>
  </si>
  <si>
    <t>Species Emissions</t>
  </si>
  <si>
    <t>Resin Speciation</t>
  </si>
  <si>
    <t>Maximum Amount of Material Processed -Short Term</t>
  </si>
  <si>
    <t xml:space="preserve">PM Emission Factor </t>
  </si>
  <si>
    <t>lb/lb</t>
  </si>
  <si>
    <t>Material Process Rate</t>
  </si>
  <si>
    <t>Short Term Emission Rate</t>
  </si>
  <si>
    <t>Resin</t>
  </si>
  <si>
    <t>98-83-9</t>
  </si>
  <si>
    <t>Subject to Subpart WWWW</t>
  </si>
  <si>
    <t>Whole Building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</si>
</sst>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0.0000"/>
    <numFmt numFmtId="168" formatCode="0.000"/>
    <numFmt numFmtId="169" formatCode="0.0000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sz val="9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6"/>
      <color indexed="8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0" fillId="0" borderId="0" xfId="19">
      <alignment/>
      <protection/>
    </xf>
    <xf numFmtId="2" fontId="0" fillId="0" borderId="0" xfId="19" applyNumberFormat="1">
      <alignment/>
      <protection/>
    </xf>
    <xf numFmtId="0" fontId="0" fillId="0" borderId="0" xfId="19" applyAlignment="1">
      <alignment horizontal="center"/>
      <protection/>
    </xf>
    <xf numFmtId="3" fontId="0" fillId="0" borderId="0" xfId="19" applyNumberFormat="1">
      <alignment/>
      <protection/>
    </xf>
    <xf numFmtId="0" fontId="0" fillId="0" borderId="0" xfId="19" applyFont="1">
      <alignment/>
      <protection/>
    </xf>
    <xf numFmtId="0" fontId="2" fillId="0" borderId="0" xfId="19" applyFont="1" applyAlignment="1">
      <alignment horizontal="centerContinuous"/>
      <protection/>
    </xf>
    <xf numFmtId="0" fontId="8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3" fontId="0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164" fontId="9" fillId="0" borderId="0" xfId="19" applyNumberFormat="1" applyFont="1">
      <alignment/>
      <protection/>
    </xf>
    <xf numFmtId="0" fontId="9" fillId="0" borderId="0" xfId="0" applyFont="1" applyAlignment="1">
      <alignment/>
    </xf>
    <xf numFmtId="3" fontId="9" fillId="0" borderId="0" xfId="19" applyNumberFormat="1" applyFont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19" applyFont="1">
      <alignment/>
      <protection/>
    </xf>
    <xf numFmtId="2" fontId="0" fillId="0" borderId="0" xfId="19" applyNumberFormat="1" applyAlignment="1">
      <alignment horizontal="center"/>
      <protection/>
    </xf>
    <xf numFmtId="10" fontId="0" fillId="0" borderId="0" xfId="19" applyNumberFormat="1" applyAlignment="1">
      <alignment horizontal="center"/>
      <protection/>
    </xf>
    <xf numFmtId="2" fontId="7" fillId="0" borderId="0" xfId="19" applyNumberFormat="1" applyFont="1">
      <alignment/>
      <protection/>
    </xf>
    <xf numFmtId="0" fontId="7" fillId="0" borderId="0" xfId="19" applyFont="1" applyAlignment="1">
      <alignment horizontal="left"/>
      <protection/>
    </xf>
    <xf numFmtId="3" fontId="0" fillId="0" borderId="0" xfId="19" applyNumberFormat="1" applyAlignment="1">
      <alignment horizontal="center"/>
      <protection/>
    </xf>
    <xf numFmtId="2" fontId="7" fillId="0" borderId="0" xfId="19" applyNumberFormat="1" applyFont="1" applyAlignment="1">
      <alignment horizontal="right"/>
      <protection/>
    </xf>
    <xf numFmtId="166" fontId="0" fillId="0" borderId="0" xfId="19" applyNumberFormat="1" applyAlignment="1">
      <alignment horizontal="center"/>
      <protection/>
    </xf>
    <xf numFmtId="4" fontId="0" fillId="0" borderId="0" xfId="0" applyNumberFormat="1" applyAlignment="1">
      <alignment horizontal="center"/>
    </xf>
    <xf numFmtId="0" fontId="0" fillId="0" borderId="0" xfId="19" applyFont="1" applyAlignment="1">
      <alignment horizontal="left"/>
      <protection/>
    </xf>
    <xf numFmtId="166" fontId="7" fillId="0" borderId="0" xfId="19" applyNumberFormat="1" applyFont="1" applyAlignment="1">
      <alignment horizontal="right"/>
      <protection/>
    </xf>
    <xf numFmtId="166" fontId="0" fillId="0" borderId="0" xfId="19" applyNumberFormat="1" applyFont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19" applyFont="1" applyAlignment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19" applyFont="1" applyAlignment="1">
      <alignment/>
      <protection/>
    </xf>
    <xf numFmtId="0" fontId="12" fillId="0" borderId="0" xfId="0" applyFont="1" applyAlignment="1">
      <alignment/>
    </xf>
    <xf numFmtId="168" fontId="7" fillId="0" borderId="0" xfId="19" applyNumberFormat="1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0" fillId="0" borderId="0" xfId="19" applyFont="1" applyAlignment="1">
      <alignment wrapText="1"/>
      <protection/>
    </xf>
    <xf numFmtId="0" fontId="0" fillId="0" borderId="0" xfId="19" applyFont="1" applyAlignment="1">
      <alignment horizontal="center" wrapText="1"/>
      <protection/>
    </xf>
    <xf numFmtId="0" fontId="0" fillId="0" borderId="0" xfId="0" applyAlignment="1">
      <alignment wrapText="1"/>
    </xf>
    <xf numFmtId="0" fontId="7" fillId="0" borderId="0" xfId="19" applyFont="1" applyAlignment="1">
      <alignment horizontal="center" wrapText="1"/>
      <protection/>
    </xf>
    <xf numFmtId="3" fontId="7" fillId="0" borderId="0" xfId="19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0" fillId="0" borderId="0" xfId="19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19" applyNumberFormat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right"/>
      <protection/>
    </xf>
    <xf numFmtId="166" fontId="0" fillId="0" borderId="0" xfId="0" applyNumberFormat="1" applyAlignment="1">
      <alignment horizontal="center"/>
    </xf>
    <xf numFmtId="2" fontId="0" fillId="0" borderId="0" xfId="19" applyNumberFormat="1" applyFont="1" applyAlignment="1">
      <alignment horizontal="center"/>
      <protection/>
    </xf>
    <xf numFmtId="3" fontId="0" fillId="0" borderId="0" xfId="19" applyNumberFormat="1" applyFont="1" applyAlignment="1">
      <alignment horizontal="center"/>
      <protection/>
    </xf>
    <xf numFmtId="0" fontId="0" fillId="0" borderId="0" xfId="19" applyAlignment="1">
      <alignment wrapText="1"/>
      <protection/>
    </xf>
    <xf numFmtId="0" fontId="0" fillId="0" borderId="0" xfId="19" applyAlignment="1">
      <alignment horizontal="center" wrapText="1"/>
      <protection/>
    </xf>
    <xf numFmtId="2" fontId="7" fillId="0" borderId="0" xfId="19" applyNumberFormat="1" applyFont="1" applyAlignment="1">
      <alignment horizontal="left"/>
      <protection/>
    </xf>
    <xf numFmtId="0" fontId="17" fillId="0" borderId="0" xfId="0" applyFont="1" applyAlignment="1">
      <alignment horizontal="center"/>
    </xf>
    <xf numFmtId="3" fontId="17" fillId="0" borderId="0" xfId="19" applyNumberFormat="1" applyFont="1" applyAlignment="1">
      <alignment horizontal="center"/>
      <protection/>
    </xf>
    <xf numFmtId="166" fontId="0" fillId="0" borderId="0" xfId="19" applyNumberFormat="1">
      <alignment/>
      <protection/>
    </xf>
    <xf numFmtId="166" fontId="0" fillId="0" borderId="0" xfId="0" applyNumberFormat="1" applyAlignment="1">
      <alignment/>
    </xf>
    <xf numFmtId="3" fontId="7" fillId="0" borderId="0" xfId="19" applyNumberFormat="1" applyFont="1" applyAlignment="1">
      <alignment horizontal="center"/>
      <protection/>
    </xf>
    <xf numFmtId="2" fontId="7" fillId="0" borderId="0" xfId="19" applyNumberFormat="1" applyFont="1" applyAlignment="1">
      <alignment horizontal="center"/>
      <protection/>
    </xf>
    <xf numFmtId="3" fontId="7" fillId="0" borderId="0" xfId="19" applyNumberFormat="1" applyFont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2" fontId="0" fillId="0" borderId="0" xfId="19" applyNumberFormat="1" applyFont="1" applyAlignment="1">
      <alignment horizontal="center"/>
      <protection/>
    </xf>
    <xf numFmtId="2" fontId="7" fillId="0" borderId="0" xfId="19" applyNumberFormat="1" applyFont="1" applyAlignment="1">
      <alignment horizontal="right"/>
      <protection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3" fillId="2" borderId="10" xfId="0" applyNumberFormat="1" applyFont="1" applyFill="1" applyBorder="1" applyAlignment="1" applyProtection="1">
      <alignment horizontal="center"/>
      <protection locked="0"/>
    </xf>
    <xf numFmtId="0" fontId="13" fillId="2" borderId="11" xfId="0" applyNumberFormat="1" applyFont="1" applyFill="1" applyBorder="1" applyAlignment="1" applyProtection="1">
      <alignment horizontal="center"/>
      <protection locked="0"/>
    </xf>
    <xf numFmtId="0" fontId="13" fillId="3" borderId="12" xfId="0" applyNumberFormat="1" applyFont="1" applyFill="1" applyBorder="1" applyAlignment="1" applyProtection="1">
      <alignment horizontal="centerContinuous" vertical="center"/>
      <protection/>
    </xf>
    <xf numFmtId="0" fontId="11" fillId="3" borderId="13" xfId="0" applyNumberFormat="1" applyFont="1" applyFill="1" applyBorder="1" applyAlignment="1" applyProtection="1">
      <alignment horizontal="centerContinuous" vertical="center"/>
      <protection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3" fillId="2" borderId="5" xfId="0" applyNumberFormat="1" applyFont="1" applyFill="1" applyBorder="1" applyAlignment="1" applyProtection="1">
      <alignment horizontal="center"/>
      <protection locked="0"/>
    </xf>
    <xf numFmtId="0" fontId="21" fillId="2" borderId="14" xfId="0" applyNumberFormat="1" applyFont="1" applyFill="1" applyBorder="1" applyAlignment="1" applyProtection="1">
      <alignment horizontal="centerContinuous" vertical="center"/>
      <protection locked="0"/>
    </xf>
    <xf numFmtId="0" fontId="21" fillId="2" borderId="15" xfId="0" applyNumberFormat="1" applyFont="1" applyFill="1" applyBorder="1" applyAlignment="1" applyProtection="1">
      <alignment horizontal="centerContinuous" vertical="center"/>
      <protection locked="0"/>
    </xf>
    <xf numFmtId="0" fontId="21" fillId="2" borderId="16" xfId="0" applyNumberFormat="1" applyFont="1" applyFill="1" applyBorder="1" applyAlignment="1" applyProtection="1">
      <alignment horizontal="center"/>
      <protection locked="0"/>
    </xf>
    <xf numFmtId="0" fontId="21" fillId="2" borderId="17" xfId="0" applyNumberFormat="1" applyFont="1" applyFill="1" applyBorder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NumberFormat="1" applyFont="1" applyFill="1" applyBorder="1" applyAlignment="1" applyProtection="1">
      <alignment horizontal="center"/>
      <protection locked="0"/>
    </xf>
    <xf numFmtId="0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1" xfId="0" applyNumberFormat="1" applyFont="1" applyFill="1" applyBorder="1" applyAlignment="1" applyProtection="1">
      <alignment horizontal="center"/>
      <protection locked="0"/>
    </xf>
    <xf numFmtId="0" fontId="21" fillId="2" borderId="19" xfId="0" applyNumberFormat="1" applyFont="1" applyFill="1" applyBorder="1" applyAlignment="1" applyProtection="1">
      <alignment horizontal="center"/>
      <protection locked="0"/>
    </xf>
    <xf numFmtId="0" fontId="2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3" fillId="3" borderId="11" xfId="0" applyNumberFormat="1" applyFont="1" applyFill="1" applyBorder="1" applyAlignment="1" applyProtection="1">
      <alignment horizontal="center" vertical="center"/>
      <protection/>
    </xf>
    <xf numFmtId="0" fontId="13" fillId="2" borderId="11" xfId="0" applyNumberFormat="1" applyFont="1" applyFill="1" applyBorder="1" applyAlignment="1" applyProtection="1">
      <alignment horizontal="centerContinuous" vertical="center"/>
      <protection locked="0"/>
    </xf>
    <xf numFmtId="0" fontId="13" fillId="3" borderId="11" xfId="0" applyNumberFormat="1" applyFont="1" applyFill="1" applyBorder="1" applyAlignment="1" applyProtection="1">
      <alignment horizontal="center"/>
      <protection/>
    </xf>
    <xf numFmtId="0" fontId="13" fillId="3" borderId="5" xfId="0" applyNumberFormat="1" applyFont="1" applyFill="1" applyBorder="1" applyAlignment="1" applyProtection="1">
      <alignment horizontal="center" vertical="center"/>
      <protection/>
    </xf>
    <xf numFmtId="0" fontId="13" fillId="3" borderId="5" xfId="0" applyNumberFormat="1" applyFont="1" applyFill="1" applyBorder="1" applyAlignment="1" applyProtection="1">
      <alignment horizontal="center"/>
      <protection/>
    </xf>
    <xf numFmtId="0" fontId="21" fillId="3" borderId="5" xfId="0" applyNumberFormat="1" applyFont="1" applyFill="1" applyBorder="1" applyAlignment="1" applyProtection="1">
      <alignment horizontal="center" vertical="center"/>
      <protection/>
    </xf>
    <xf numFmtId="0" fontId="21" fillId="3" borderId="5" xfId="0" applyNumberFormat="1" applyFont="1" applyFill="1" applyBorder="1" applyAlignment="1" applyProtection="1">
      <alignment horizontal="center"/>
      <protection/>
    </xf>
    <xf numFmtId="0" fontId="21" fillId="3" borderId="19" xfId="0" applyNumberFormat="1" applyFont="1" applyFill="1" applyBorder="1" applyAlignment="1" applyProtection="1">
      <alignment horizontal="center" vertical="center"/>
      <protection/>
    </xf>
    <xf numFmtId="0" fontId="21" fillId="3" borderId="19" xfId="0" applyNumberFormat="1" applyFont="1" applyFill="1" applyBorder="1" applyAlignment="1" applyProtection="1">
      <alignment horizontal="center"/>
      <protection/>
    </xf>
    <xf numFmtId="2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169" fontId="11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/>
      <protection/>
    </xf>
    <xf numFmtId="0" fontId="13" fillId="3" borderId="38" xfId="0" applyNumberFormat="1" applyFont="1" applyFill="1" applyBorder="1" applyAlignment="1" applyProtection="1">
      <alignment horizontal="center"/>
      <protection/>
    </xf>
    <xf numFmtId="0" fontId="13" fillId="3" borderId="39" xfId="0" applyNumberFormat="1" applyFont="1" applyFill="1" applyBorder="1" applyAlignment="1" applyProtection="1">
      <alignment horizontal="center"/>
      <protection/>
    </xf>
    <xf numFmtId="0" fontId="13" fillId="3" borderId="40" xfId="0" applyNumberFormat="1" applyFont="1" applyFill="1" applyBorder="1" applyAlignment="1" applyProtection="1">
      <alignment horizontal="center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167" fontId="0" fillId="0" borderId="0" xfId="0" applyNumberFormat="1" applyAlignment="1">
      <alignment horizontal="center"/>
    </xf>
    <xf numFmtId="2" fontId="17" fillId="0" borderId="0" xfId="19" applyNumberFormat="1" applyFont="1">
      <alignment/>
      <protection/>
    </xf>
    <xf numFmtId="3" fontId="17" fillId="0" borderId="0" xfId="19" applyNumberFormat="1" applyFont="1">
      <alignment/>
      <protection/>
    </xf>
    <xf numFmtId="164" fontId="17" fillId="0" borderId="0" xfId="19" applyNumberFormat="1" applyFont="1">
      <alignment/>
      <protection/>
    </xf>
    <xf numFmtId="166" fontId="17" fillId="0" borderId="0" xfId="19" applyNumberFormat="1" applyFont="1">
      <alignment/>
      <protection/>
    </xf>
    <xf numFmtId="0" fontId="17" fillId="0" borderId="0" xfId="0" applyFont="1" applyAlignment="1">
      <alignment/>
    </xf>
    <xf numFmtId="167" fontId="17" fillId="0" borderId="0" xfId="19" applyNumberFormat="1" applyFont="1">
      <alignment/>
      <protection/>
    </xf>
    <xf numFmtId="10" fontId="17" fillId="0" borderId="0" xfId="19" applyNumberFormat="1" applyFont="1">
      <alignment/>
      <protection/>
    </xf>
    <xf numFmtId="1" fontId="17" fillId="0" borderId="0" xfId="19" applyNumberFormat="1" applyFont="1">
      <alignment/>
      <protection/>
    </xf>
    <xf numFmtId="1" fontId="17" fillId="0" borderId="0" xfId="19" applyNumberFormat="1" applyFont="1" applyAlignment="1">
      <alignment horizontal="right"/>
      <protection/>
    </xf>
    <xf numFmtId="166" fontId="17" fillId="0" borderId="0" xfId="19" applyNumberFormat="1" applyFont="1" applyAlignment="1">
      <alignment horizontal="right"/>
      <protection/>
    </xf>
    <xf numFmtId="2" fontId="17" fillId="0" borderId="0" xfId="19" applyNumberFormat="1" applyFont="1" applyAlignment="1">
      <alignment horizontal="right"/>
      <protection/>
    </xf>
    <xf numFmtId="0" fontId="17" fillId="0" borderId="0" xfId="19" applyFont="1" applyAlignment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3" fontId="24" fillId="0" borderId="5" xfId="0" applyNumberFormat="1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3" fontId="25" fillId="0" borderId="5" xfId="0" applyNumberFormat="1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3" fontId="25" fillId="0" borderId="5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25" fillId="0" borderId="5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6" fontId="1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1" fillId="2" borderId="14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NumberFormat="1" applyFont="1" applyFill="1" applyBorder="1" applyAlignment="1" applyProtection="1">
      <alignment horizontal="center" vertical="center"/>
      <protection/>
    </xf>
    <xf numFmtId="0" fontId="13" fillId="3" borderId="1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K Painiting permit paint emissions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22.00390625" style="0" customWidth="1"/>
    <col min="5" max="5" width="20.00390625" style="0" customWidth="1"/>
  </cols>
  <sheetData>
    <row r="1" spans="1:7" ht="18">
      <c r="A1" s="188" t="s">
        <v>0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7" ht="18">
      <c r="A4" s="189" t="s">
        <v>43</v>
      </c>
      <c r="B4" s="189"/>
      <c r="C4" s="189"/>
      <c r="D4" s="189"/>
      <c r="E4" s="189"/>
      <c r="F4" s="189"/>
      <c r="G4" s="189"/>
    </row>
    <row r="5" spans="1:7" ht="18">
      <c r="A5" s="187" t="s">
        <v>34</v>
      </c>
      <c r="B5" s="187"/>
      <c r="C5" s="187"/>
      <c r="D5" s="187"/>
      <c r="E5" s="187"/>
      <c r="F5" s="187"/>
      <c r="G5" s="187"/>
    </row>
    <row r="7" spans="1:4" ht="12.75">
      <c r="A7" s="24" t="s">
        <v>35</v>
      </c>
      <c r="B7" s="24" t="s">
        <v>36</v>
      </c>
      <c r="C7" s="24" t="s">
        <v>37</v>
      </c>
      <c r="D7" s="24" t="s">
        <v>38</v>
      </c>
    </row>
    <row r="8" spans="1:4" ht="12.75">
      <c r="A8" s="29" t="s">
        <v>60</v>
      </c>
      <c r="B8" s="160">
        <v>0.06</v>
      </c>
      <c r="C8" s="32" t="s">
        <v>48</v>
      </c>
      <c r="D8" s="29" t="s">
        <v>44</v>
      </c>
    </row>
    <row r="9" spans="1:4" ht="12.75">
      <c r="A9" s="29" t="s">
        <v>56</v>
      </c>
      <c r="B9" s="161">
        <v>15</v>
      </c>
      <c r="C9" s="32" t="s">
        <v>49</v>
      </c>
      <c r="D9" s="29" t="s">
        <v>44</v>
      </c>
    </row>
    <row r="10" spans="1:4" ht="12.75">
      <c r="A10" s="29" t="s">
        <v>45</v>
      </c>
      <c r="B10" s="162">
        <v>34</v>
      </c>
      <c r="C10" s="32" t="s">
        <v>230</v>
      </c>
      <c r="D10" s="29" t="s">
        <v>46</v>
      </c>
    </row>
    <row r="11" spans="1:4" ht="12.75">
      <c r="A11" s="29" t="s">
        <v>47</v>
      </c>
      <c r="B11" s="162">
        <v>6</v>
      </c>
      <c r="C11" s="32" t="s">
        <v>230</v>
      </c>
      <c r="D11" s="29" t="s">
        <v>46</v>
      </c>
    </row>
    <row r="12" spans="1:4" ht="12.75">
      <c r="A12" s="29" t="s">
        <v>124</v>
      </c>
      <c r="B12" s="162">
        <v>5</v>
      </c>
      <c r="C12" s="32" t="s">
        <v>230</v>
      </c>
      <c r="D12" s="29" t="s">
        <v>46</v>
      </c>
    </row>
    <row r="13" spans="1:4" ht="12.75">
      <c r="A13" s="29"/>
      <c r="B13" s="35"/>
      <c r="C13" s="32"/>
      <c r="D13" s="29"/>
    </row>
    <row r="14" spans="1:4" ht="12.75">
      <c r="A14" s="29"/>
      <c r="B14" s="34"/>
      <c r="C14" s="27"/>
      <c r="D14" s="29"/>
    </row>
    <row r="15" spans="1:4" ht="12.75">
      <c r="A15" s="67" t="s">
        <v>169</v>
      </c>
      <c r="B15" s="36"/>
      <c r="C15" s="27"/>
      <c r="D15" s="29" t="s">
        <v>44</v>
      </c>
    </row>
    <row r="16" spans="1:4" ht="12.75">
      <c r="A16" s="67"/>
      <c r="B16" s="36"/>
      <c r="C16" s="68"/>
      <c r="D16" s="29"/>
    </row>
    <row r="17" spans="1:5" ht="12.75">
      <c r="A17" s="68" t="s">
        <v>172</v>
      </c>
      <c r="B17" s="66" t="s">
        <v>125</v>
      </c>
      <c r="C17" s="68" t="s">
        <v>80</v>
      </c>
      <c r="D17" s="24" t="s">
        <v>37</v>
      </c>
      <c r="E17" s="24" t="s">
        <v>38</v>
      </c>
    </row>
    <row r="18" spans="1:5" ht="12.75">
      <c r="A18" s="29" t="s">
        <v>167</v>
      </c>
      <c r="B18" s="89" t="s">
        <v>28</v>
      </c>
      <c r="C18" s="48" t="str">
        <f>IF(B18="NO"," ",IF(B10&lt;33,(0.126*B10/100*2000),((0.286*B10/100)-0.0529)*2000))</f>
        <v> </v>
      </c>
      <c r="D18" s="29" t="str">
        <f>IF(B18="NO"," ","lb/ton gelcoat processed")</f>
        <v> </v>
      </c>
      <c r="E18" s="29" t="str">
        <f>IF(B18="NO"," ","40 CFR 63, Subaprt WWWW, Table 1")</f>
        <v> </v>
      </c>
    </row>
    <row r="19" spans="1:5" ht="12.75">
      <c r="A19" s="33" t="s">
        <v>50</v>
      </c>
      <c r="B19" s="89" t="s">
        <v>28</v>
      </c>
      <c r="C19" s="48" t="str">
        <f>IF(B19="NO"," ",IF(B10&lt;19,(0.445*B10/100*2000),((1.03646*B10/100)-0.195)*2000))</f>
        <v> </v>
      </c>
      <c r="D19" s="29" t="str">
        <f>IF(B19="NO"," ","lb/ton gelcoat processed")</f>
        <v> </v>
      </c>
      <c r="E19" s="29" t="str">
        <f>IF(B19="NO"," ","40 CFR 63, Subaprt WWWW, Table 1")</f>
        <v> </v>
      </c>
    </row>
    <row r="20" spans="1:5" ht="12.75">
      <c r="A20" s="33" t="s">
        <v>51</v>
      </c>
      <c r="B20" s="90" t="s">
        <v>28</v>
      </c>
      <c r="C20" s="48" t="str">
        <f>IF(B20="NO"," ",IF(B10&lt;33,(0.325*B10/100*2000),(0.73*((1.03646*B10/100)-0.195))*2000))</f>
        <v> </v>
      </c>
      <c r="D20" s="29" t="str">
        <f>IF(B20="NO"," ","lb/ton gelcoat processed")</f>
        <v> </v>
      </c>
      <c r="E20" s="29" t="str">
        <f>IF(B20="NO"," ","Unified Emission Factors - July 23, 2001")</f>
        <v> </v>
      </c>
    </row>
    <row r="21" spans="1:5" ht="12.75">
      <c r="A21" s="33" t="s">
        <v>52</v>
      </c>
      <c r="B21" s="90" t="s">
        <v>53</v>
      </c>
      <c r="C21" s="48">
        <f>IF(B21="NO"," ",IF(B10&lt;19,(0.185*B10/100*2000),((0.4506*B10/100)-0.0505)*2000))</f>
        <v>205.40800000000002</v>
      </c>
      <c r="D21" s="29" t="str">
        <f>IF(B21="NO"," ","lb/ton gelcoat processed")</f>
        <v>lb/ton gelcoat processed</v>
      </c>
      <c r="E21" s="29" t="str">
        <f>IF(B21="NO"," ","Unified Emission Factors - July 23, 2001")</f>
        <v>Unified Emission Factors - July 23, 2001</v>
      </c>
    </row>
    <row r="22" spans="1:4" ht="12.75">
      <c r="A22" s="29"/>
      <c r="B22" s="28"/>
      <c r="C22" s="27"/>
      <c r="D22" s="29"/>
    </row>
    <row r="23" ht="12.75">
      <c r="A23" s="95" t="s">
        <v>174</v>
      </c>
    </row>
    <row r="24" ht="12.75">
      <c r="A24" s="93" t="s">
        <v>175</v>
      </c>
    </row>
    <row r="25" spans="1:5" ht="12.75">
      <c r="A25" s="29" t="s">
        <v>167</v>
      </c>
      <c r="B25" s="93" t="str">
        <f>IF(AND(B18="yes",B12&gt;0),"YES"," ")</f>
        <v> </v>
      </c>
      <c r="C25" s="48" t="str">
        <f>IF(B25=" "," ",IF(B12&lt;33,(0.126*B12/100*2000),((0.286*B12/100)-0.0529)*2000))</f>
        <v> </v>
      </c>
      <c r="D25" s="29" t="str">
        <f>IF(B25=" "," ","lb/ton gelcoat processed")</f>
        <v> </v>
      </c>
      <c r="E25" s="29" t="str">
        <f>IF(B25=" "," ","40 CFR 63, Subaprt WWWW, Table 1")</f>
        <v> </v>
      </c>
    </row>
    <row r="26" spans="1:5" ht="12.75">
      <c r="A26" s="33" t="s">
        <v>50</v>
      </c>
      <c r="B26" s="93" t="str">
        <f>IF(AND(B19="yes",B12&gt;0),"YES"," ")</f>
        <v> </v>
      </c>
      <c r="C26" s="48" t="str">
        <f>IF(B26=" "," ",IF(B12&lt;19,(0.445*B12/100*2000),((1.03646*B12/100)-0.195)*2000))</f>
        <v> </v>
      </c>
      <c r="D26" s="29" t="str">
        <f>IF(B26=" "," ","lb/ton gelcoat processed")</f>
        <v> </v>
      </c>
      <c r="E26" s="29" t="str">
        <f>IF(B26=" "," ","40 CFR 63, Subaprt WWWW, Table 1")</f>
        <v> </v>
      </c>
    </row>
    <row r="27" spans="1:5" ht="12.75">
      <c r="A27" s="33" t="s">
        <v>51</v>
      </c>
      <c r="B27" s="93" t="str">
        <f>IF(AND(B20="yes",B12&gt;0),"YES"," ")</f>
        <v> </v>
      </c>
      <c r="C27" s="48" t="str">
        <f>IF(B27=" "," ",IF(B12&lt;33,(0.325*B12/100*2000),(0.73*((1.03646*B12/100)-0.195))*2000))</f>
        <v> </v>
      </c>
      <c r="D27" s="29" t="str">
        <f>IF(B27=" "," ","lb/ton gelcoat processed")</f>
        <v> </v>
      </c>
      <c r="E27" s="29" t="str">
        <f>IF(B27=" "," ","Unified Emission Factors - July 23, 2001")</f>
        <v> </v>
      </c>
    </row>
    <row r="28" spans="1:5" ht="12.75">
      <c r="A28" s="33" t="s">
        <v>52</v>
      </c>
      <c r="B28" s="93" t="str">
        <f>IF(AND(B21="yes",B12&gt;0),"YES"," ")</f>
        <v>YES</v>
      </c>
      <c r="C28" s="48">
        <f>IF(B28=" "," ",IF(B12&lt;19,(0.185*B12/100*2000),((0.4506*B12/100)-0.0505)*2000))</f>
        <v>18.500000000000004</v>
      </c>
      <c r="D28" s="29" t="str">
        <f>IF(B28=" "," ","lb/ton gelcoat processed")</f>
        <v>lb/ton gelcoat processed</v>
      </c>
      <c r="E28" s="29" t="str">
        <f>IF(B28=" "," ","Unified Emission Factors - July 23, 2001")</f>
        <v>Unified Emission Factors - July 23, 2001</v>
      </c>
    </row>
    <row r="29" spans="1:5" ht="12.75">
      <c r="A29" s="32"/>
      <c r="B29" s="93"/>
      <c r="C29" s="27"/>
      <c r="D29" s="29"/>
      <c r="E29" s="29"/>
    </row>
    <row r="30" spans="1:5" ht="12.75">
      <c r="A30" s="68" t="s">
        <v>173</v>
      </c>
      <c r="B30" s="93"/>
      <c r="C30" s="27"/>
      <c r="D30" s="29"/>
      <c r="E30" s="29"/>
    </row>
    <row r="31" spans="1:5" ht="12.75">
      <c r="A31" s="68" t="s">
        <v>175</v>
      </c>
      <c r="B31" s="93"/>
      <c r="C31" s="27"/>
      <c r="D31" s="29"/>
      <c r="E31" s="29"/>
    </row>
    <row r="32" spans="1:5" ht="12.75">
      <c r="A32" s="32" t="s">
        <v>176</v>
      </c>
      <c r="B32" s="93" t="str">
        <f>IF(B11&gt;0,"YES","NO")</f>
        <v>YES</v>
      </c>
      <c r="C32" s="27">
        <f>IF(B32="NO"," ",IF(B11&lt;20,B11*15,0.75*B11/2000))</f>
        <v>90</v>
      </c>
      <c r="D32" s="29" t="str">
        <f>IF(B32="NO"," ","lb/ton gelcoat processed")</f>
        <v>lb/ton gelcoat processed</v>
      </c>
      <c r="E32" s="29" t="str">
        <f>IF(B32="NO"," ","Unified Emission Factors - July 23, 2001")</f>
        <v>Unified Emission Factors - July 23, 2001</v>
      </c>
    </row>
    <row r="33" spans="1:5" ht="12.75">
      <c r="A33" s="32"/>
      <c r="B33" s="93"/>
      <c r="C33" s="27"/>
      <c r="D33" s="29"/>
      <c r="E33" s="29"/>
    </row>
    <row r="34" spans="1:4" ht="12.75">
      <c r="A34" s="29"/>
      <c r="B34" s="28"/>
      <c r="C34" s="27"/>
      <c r="D34" s="29"/>
    </row>
    <row r="35" spans="1:4" ht="15.75">
      <c r="A35" s="38" t="s">
        <v>54</v>
      </c>
      <c r="B35" s="28"/>
      <c r="C35" s="27"/>
      <c r="D35" s="29"/>
    </row>
    <row r="36" spans="1:10" ht="25.5">
      <c r="A36" s="69"/>
      <c r="B36" s="73" t="s">
        <v>80</v>
      </c>
      <c r="C36" s="72" t="s">
        <v>130</v>
      </c>
      <c r="D36" s="72" t="s">
        <v>170</v>
      </c>
      <c r="E36" s="76"/>
      <c r="F36" s="76"/>
      <c r="G36" s="76"/>
      <c r="H36" s="74"/>
      <c r="I36" s="74"/>
      <c r="J36" s="71"/>
    </row>
    <row r="37" spans="1:10" ht="12.75">
      <c r="A37" s="69"/>
      <c r="B37" s="75" t="s">
        <v>129</v>
      </c>
      <c r="C37" s="70" t="s">
        <v>171</v>
      </c>
      <c r="D37" s="70" t="s">
        <v>84</v>
      </c>
      <c r="E37" s="74"/>
      <c r="F37" s="74"/>
      <c r="G37" s="74"/>
      <c r="H37" s="74"/>
      <c r="I37" s="74"/>
      <c r="J37" s="74"/>
    </row>
    <row r="38" spans="1:4" ht="12.75">
      <c r="A38" s="68" t="s">
        <v>126</v>
      </c>
      <c r="B38" s="28"/>
      <c r="C38" s="27"/>
      <c r="D38" s="29"/>
    </row>
    <row r="39" spans="1:4" ht="12.75">
      <c r="A39" s="81" t="s">
        <v>168</v>
      </c>
      <c r="B39" s="48" t="str">
        <f>IF(B18="NO"," ",C18)</f>
        <v> </v>
      </c>
      <c r="C39" s="27" t="str">
        <f>IF(B18="NO"," ",B8)</f>
        <v> </v>
      </c>
      <c r="D39" s="94" t="str">
        <f>IF(B18="NO"," ",B39*C39)</f>
        <v> </v>
      </c>
    </row>
    <row r="40" spans="1:4" ht="12.75">
      <c r="A40" s="33" t="s">
        <v>50</v>
      </c>
      <c r="B40" s="48" t="str">
        <f>IF(B19="NO"," ",C19)</f>
        <v> </v>
      </c>
      <c r="C40" s="27" t="str">
        <f>IF(B19="NO"," ",B8)</f>
        <v> </v>
      </c>
      <c r="D40" s="94" t="str">
        <f>IF(B19="NO"," ",B40*C40)</f>
        <v> </v>
      </c>
    </row>
    <row r="41" spans="1:4" ht="12.75">
      <c r="A41" s="33" t="s">
        <v>51</v>
      </c>
      <c r="B41" s="48" t="str">
        <f>IF(B20="NO"," ",C20)</f>
        <v> </v>
      </c>
      <c r="C41" s="27" t="str">
        <f>IF(B20="NO"," ",B8)</f>
        <v> </v>
      </c>
      <c r="D41" s="94" t="str">
        <f>IF(B20="NO"," ",B41*C41)</f>
        <v> </v>
      </c>
    </row>
    <row r="42" spans="1:4" ht="12.75">
      <c r="A42" s="33" t="s">
        <v>52</v>
      </c>
      <c r="B42" s="48">
        <f>IF(B21="NO"," ",C21)</f>
        <v>205.40800000000002</v>
      </c>
      <c r="C42" s="27">
        <f>IF(B21="NO"," ",B8)</f>
        <v>0.06</v>
      </c>
      <c r="D42" s="94">
        <f>IF(B21="NO"," ",B42*C42)</f>
        <v>12.324480000000001</v>
      </c>
    </row>
    <row r="43" spans="1:4" ht="12.75">
      <c r="A43" s="25"/>
      <c r="B43" s="48"/>
      <c r="C43" s="27"/>
      <c r="D43" s="94"/>
    </row>
    <row r="44" spans="1:4" ht="12.75">
      <c r="A44" s="29"/>
      <c r="B44" s="48"/>
      <c r="C44" s="27"/>
      <c r="D44" s="94"/>
    </row>
    <row r="45" spans="1:4" ht="12.75">
      <c r="A45" s="68" t="s">
        <v>127</v>
      </c>
      <c r="B45" s="48"/>
      <c r="C45" s="27"/>
      <c r="D45" s="94"/>
    </row>
    <row r="46" spans="1:4" ht="12.75">
      <c r="A46" s="81" t="s">
        <v>168</v>
      </c>
      <c r="B46" s="48" t="str">
        <f>IF(B18="NO"," ",C25)</f>
        <v> </v>
      </c>
      <c r="C46" s="27" t="str">
        <f>IF(B18="NO"," ",B8)</f>
        <v> </v>
      </c>
      <c r="D46" s="94" t="str">
        <f>IF(B46=" "," ",B46*C46)</f>
        <v> </v>
      </c>
    </row>
    <row r="47" spans="1:4" ht="12.75">
      <c r="A47" s="33" t="s">
        <v>50</v>
      </c>
      <c r="B47" s="48" t="str">
        <f>IF(B19="NO"," ",C26)</f>
        <v> </v>
      </c>
      <c r="C47" s="27" t="str">
        <f>IF(B19="NO"," ",B8)</f>
        <v> </v>
      </c>
      <c r="D47" s="94" t="str">
        <f>IF(B47=" "," ",B47*C47)</f>
        <v> </v>
      </c>
    </row>
    <row r="48" spans="1:4" ht="12.75">
      <c r="A48" s="33" t="s">
        <v>51</v>
      </c>
      <c r="B48" s="48" t="str">
        <f>IF(B20="NO"," ",C27)</f>
        <v> </v>
      </c>
      <c r="C48" s="27" t="str">
        <f>IF(B20="NO"," ",B8)</f>
        <v> </v>
      </c>
      <c r="D48" s="94" t="str">
        <f>IF(B48=" "," ",B48*C48)</f>
        <v> </v>
      </c>
    </row>
    <row r="49" spans="1:4" ht="12.75">
      <c r="A49" s="33" t="s">
        <v>52</v>
      </c>
      <c r="B49" s="48">
        <f>IF(B21="NO"," ",C28)</f>
        <v>18.500000000000004</v>
      </c>
      <c r="C49" s="27">
        <f>IF(B21="NO"," ",B8)</f>
        <v>0.06</v>
      </c>
      <c r="D49" s="94">
        <f>IF(B49=" "," ",B49*C49)</f>
        <v>1.11</v>
      </c>
    </row>
    <row r="50" spans="1:4" ht="12.75">
      <c r="A50" s="25"/>
      <c r="B50" s="48"/>
      <c r="C50" s="27"/>
      <c r="D50" s="94"/>
    </row>
    <row r="51" spans="1:4" ht="12.75">
      <c r="A51" s="68" t="s">
        <v>128</v>
      </c>
      <c r="B51" s="48"/>
      <c r="C51" s="27"/>
      <c r="D51" s="94"/>
    </row>
    <row r="52" spans="1:4" ht="12.75">
      <c r="A52" s="32" t="s">
        <v>128</v>
      </c>
      <c r="B52" s="48">
        <f>IF(B32="NO"," ",C32)</f>
        <v>90</v>
      </c>
      <c r="C52" s="27">
        <f>IF(B32="NO"," ",B8)</f>
        <v>0.06</v>
      </c>
      <c r="D52" s="94">
        <f>IF(B32="NO"," ",B52*C52)</f>
        <v>5.3999999999999995</v>
      </c>
    </row>
    <row r="53" spans="1:4" ht="12.75">
      <c r="A53" s="25"/>
      <c r="B53" s="48"/>
      <c r="C53" s="27"/>
      <c r="D53" s="42"/>
    </row>
    <row r="54" spans="1:6" ht="12.75">
      <c r="A54" s="25"/>
      <c r="B54" s="48"/>
      <c r="C54" s="25"/>
      <c r="D54" s="98" t="s">
        <v>177</v>
      </c>
      <c r="E54" s="99">
        <f>SUM(D39:D52)</f>
        <v>18.83448</v>
      </c>
      <c r="F54" s="65" t="s">
        <v>83</v>
      </c>
    </row>
    <row r="55" spans="1:6" ht="12.75">
      <c r="A55" s="25"/>
      <c r="B55" s="48"/>
      <c r="C55" s="25"/>
      <c r="D55" s="98"/>
      <c r="E55" s="99"/>
      <c r="F55" s="65"/>
    </row>
    <row r="56" spans="1:2" ht="15.75">
      <c r="A56" s="39" t="s">
        <v>55</v>
      </c>
      <c r="B56" s="83"/>
    </row>
    <row r="57" ht="12.75">
      <c r="B57" s="83"/>
    </row>
    <row r="58" spans="1:4" ht="25.5">
      <c r="A58" s="69"/>
      <c r="B58" s="73" t="s">
        <v>80</v>
      </c>
      <c r="C58" s="72" t="s">
        <v>130</v>
      </c>
      <c r="D58" s="72" t="s">
        <v>170</v>
      </c>
    </row>
    <row r="59" spans="1:4" ht="12.75">
      <c r="A59" s="69"/>
      <c r="B59" s="75" t="s">
        <v>129</v>
      </c>
      <c r="C59" s="70" t="s">
        <v>79</v>
      </c>
      <c r="D59" s="70" t="s">
        <v>110</v>
      </c>
    </row>
    <row r="60" spans="1:4" ht="12.75">
      <c r="A60" s="68" t="s">
        <v>126</v>
      </c>
      <c r="B60" s="28"/>
      <c r="C60" s="27"/>
      <c r="D60" s="29"/>
    </row>
    <row r="61" spans="1:4" ht="12.75">
      <c r="A61" s="81" t="s">
        <v>168</v>
      </c>
      <c r="B61" s="48" t="str">
        <f>IF(B18="NO"," ",C18)</f>
        <v> </v>
      </c>
      <c r="C61" s="27" t="str">
        <f>IF(B18="NO"," ",B9)</f>
        <v> </v>
      </c>
      <c r="D61" s="94" t="str">
        <f>IF(B18="NO"," ",B61*C61/2000)</f>
        <v> </v>
      </c>
    </row>
    <row r="62" spans="1:4" ht="12.75">
      <c r="A62" s="33" t="s">
        <v>50</v>
      </c>
      <c r="B62" s="48" t="str">
        <f>IF(B19="NO"," ",C19)</f>
        <v> </v>
      </c>
      <c r="C62" s="27" t="str">
        <f>IF(B19="NO"," ",B9)</f>
        <v> </v>
      </c>
      <c r="D62" s="94" t="str">
        <f>IF(B19="NO"," ",B62*C62/2000)</f>
        <v> </v>
      </c>
    </row>
    <row r="63" spans="1:4" ht="12.75">
      <c r="A63" s="33" t="s">
        <v>51</v>
      </c>
      <c r="B63" s="48" t="str">
        <f>IF(B20="NO"," ",C20)</f>
        <v> </v>
      </c>
      <c r="C63" s="27" t="str">
        <f>IF(B20="NO"," ",B9)</f>
        <v> </v>
      </c>
      <c r="D63" s="94" t="str">
        <f>IF(B20="NO"," ",B63*C63/2000)</f>
        <v> </v>
      </c>
    </row>
    <row r="64" spans="1:4" ht="12.75">
      <c r="A64" s="33" t="s">
        <v>52</v>
      </c>
      <c r="B64" s="48">
        <f>IF(B21="NO"," ",C21)</f>
        <v>205.40800000000002</v>
      </c>
      <c r="C64" s="27">
        <f>IF(B21="NO"," ",B9)</f>
        <v>15</v>
      </c>
      <c r="D64" s="94">
        <f>IF(B21="NO"," ",B64*C64/2000)</f>
        <v>1.5405600000000002</v>
      </c>
    </row>
    <row r="65" spans="1:4" ht="12.75">
      <c r="A65" s="25"/>
      <c r="B65" s="48"/>
      <c r="C65" s="27"/>
      <c r="D65" s="94"/>
    </row>
    <row r="66" spans="1:4" ht="12.75">
      <c r="A66" s="29"/>
      <c r="B66" s="48"/>
      <c r="C66" s="27"/>
      <c r="D66" s="94"/>
    </row>
    <row r="67" spans="1:4" ht="12.75">
      <c r="A67" s="68" t="s">
        <v>127</v>
      </c>
      <c r="B67" s="48"/>
      <c r="C67" s="27"/>
      <c r="D67" s="94"/>
    </row>
    <row r="68" spans="1:4" ht="12.75">
      <c r="A68" s="81" t="s">
        <v>168</v>
      </c>
      <c r="B68" s="48" t="str">
        <f>IF(B18="NO"," ",C25)</f>
        <v> </v>
      </c>
      <c r="C68" s="27" t="str">
        <f>IF(B18="NO"," ",B9)</f>
        <v> </v>
      </c>
      <c r="D68" s="94" t="str">
        <f>IF(B18="NO"," ",B68*C68/2000)</f>
        <v> </v>
      </c>
    </row>
    <row r="69" spans="1:4" ht="12.75">
      <c r="A69" s="33" t="s">
        <v>50</v>
      </c>
      <c r="B69" s="48" t="str">
        <f>IF(B19="NO"," ",C26)</f>
        <v> </v>
      </c>
      <c r="C69" s="27" t="str">
        <f>IF(B19="NO"," ",B9)</f>
        <v> </v>
      </c>
      <c r="D69" s="94" t="str">
        <f>IF(B19="NO"," ",B69*C69/2000)</f>
        <v> </v>
      </c>
    </row>
    <row r="70" spans="1:4" ht="12.75">
      <c r="A70" s="33" t="s">
        <v>51</v>
      </c>
      <c r="B70" s="48" t="str">
        <f>IF(B20="NO"," ",C27)</f>
        <v> </v>
      </c>
      <c r="C70" s="27" t="str">
        <f>IF(B20="NO"," ",B9)</f>
        <v> </v>
      </c>
      <c r="D70" s="94" t="str">
        <f>IF(B20="NO"," ",B70*C70/2000)</f>
        <v> </v>
      </c>
    </row>
    <row r="71" spans="1:4" ht="12.75">
      <c r="A71" s="33" t="s">
        <v>52</v>
      </c>
      <c r="B71" s="48">
        <f>IF(B21="NO"," ",C28)</f>
        <v>18.500000000000004</v>
      </c>
      <c r="C71" s="27">
        <f>IF(B21="NO"," ",B9)</f>
        <v>15</v>
      </c>
      <c r="D71" s="94">
        <f>IF(B21="NO"," ",B71*C71/2000)</f>
        <v>0.13875000000000004</v>
      </c>
    </row>
    <row r="72" spans="1:4" ht="12.75">
      <c r="A72" s="25"/>
      <c r="B72" s="48"/>
      <c r="C72" s="27"/>
      <c r="D72" s="94"/>
    </row>
    <row r="73" spans="1:4" ht="12.75">
      <c r="A73" s="68" t="s">
        <v>128</v>
      </c>
      <c r="B73" s="48"/>
      <c r="C73" s="27"/>
      <c r="D73" s="94"/>
    </row>
    <row r="74" spans="1:4" ht="12.75">
      <c r="A74" s="32" t="s">
        <v>128</v>
      </c>
      <c r="B74" s="48">
        <f>IF(B32="NO"," ",C32)</f>
        <v>90</v>
      </c>
      <c r="C74" s="27">
        <f>IF(B32="NO"," ",B9)</f>
        <v>15</v>
      </c>
      <c r="D74" s="94">
        <f>IF(B32="NO"," ",B74*C74/2000)</f>
        <v>0.675</v>
      </c>
    </row>
    <row r="75" spans="1:4" ht="12.75">
      <c r="A75" s="25"/>
      <c r="B75" s="48"/>
      <c r="C75" s="27"/>
      <c r="D75" s="42"/>
    </row>
    <row r="76" spans="1:6" ht="12.75">
      <c r="A76" s="25"/>
      <c r="B76" s="48"/>
      <c r="C76" s="25"/>
      <c r="D76" s="98" t="s">
        <v>177</v>
      </c>
      <c r="E76" s="99">
        <f>SUM(D61:D74)</f>
        <v>2.35431</v>
      </c>
      <c r="F76" s="65" t="s">
        <v>178</v>
      </c>
    </row>
    <row r="77" spans="1:3" ht="14.25">
      <c r="A77" s="31"/>
      <c r="B77" s="91"/>
      <c r="C77" s="25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47" r:id="rId1"/>
  <headerFooter alignWithMargins="0">
    <oddFooter>&amp;LOK MARBLE EMISSION CALCULATIONS.XLS&amp;RPRINTED ON RECYCLED PAPER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5.7109375" style="0" customWidth="1"/>
    <col min="3" max="3" width="19.421875" style="0" customWidth="1"/>
    <col min="4" max="4" width="21.8515625" style="0" customWidth="1"/>
    <col min="5" max="5" width="20.00390625" style="0" customWidth="1"/>
  </cols>
  <sheetData>
    <row r="1" spans="1:7" ht="18">
      <c r="A1" s="188" t="s">
        <v>1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7" ht="18">
      <c r="A4" s="189" t="s">
        <v>43</v>
      </c>
      <c r="B4" s="189"/>
      <c r="C4" s="189"/>
      <c r="D4" s="189"/>
      <c r="E4" s="189"/>
      <c r="F4" s="189"/>
      <c r="G4" s="189"/>
    </row>
    <row r="5" spans="1:7" ht="18">
      <c r="A5" s="187" t="s">
        <v>86</v>
      </c>
      <c r="B5" s="187"/>
      <c r="C5" s="187"/>
      <c r="D5" s="187"/>
      <c r="E5" s="187"/>
      <c r="F5" s="187"/>
      <c r="G5" s="187"/>
    </row>
    <row r="7" spans="1:4" ht="12.75">
      <c r="A7" s="24" t="s">
        <v>35</v>
      </c>
      <c r="B7" s="24" t="s">
        <v>36</v>
      </c>
      <c r="C7" s="24" t="s">
        <v>37</v>
      </c>
      <c r="D7" s="24" t="s">
        <v>38</v>
      </c>
    </row>
    <row r="8" spans="1:4" ht="12.75">
      <c r="A8" s="29" t="s">
        <v>59</v>
      </c>
      <c r="B8" s="163">
        <v>600</v>
      </c>
      <c r="C8" s="32" t="s">
        <v>83</v>
      </c>
      <c r="D8" s="29" t="s">
        <v>44</v>
      </c>
    </row>
    <row r="9" spans="1:4" ht="12.75">
      <c r="A9" s="29" t="s">
        <v>61</v>
      </c>
      <c r="B9" s="163">
        <v>750</v>
      </c>
      <c r="C9" s="32" t="s">
        <v>49</v>
      </c>
      <c r="D9" s="29" t="s">
        <v>44</v>
      </c>
    </row>
    <row r="10" spans="1:4" ht="12.75">
      <c r="A10" s="29" t="s">
        <v>62</v>
      </c>
      <c r="B10" s="162">
        <v>32</v>
      </c>
      <c r="C10" s="32" t="s">
        <v>230</v>
      </c>
      <c r="D10" s="29" t="s">
        <v>46</v>
      </c>
    </row>
    <row r="11" spans="1:4" ht="12.75">
      <c r="A11" s="29"/>
      <c r="B11" s="161"/>
      <c r="C11" s="27"/>
      <c r="D11" s="29"/>
    </row>
    <row r="12" spans="1:4" ht="12.75">
      <c r="A12" s="29" t="s">
        <v>63</v>
      </c>
      <c r="B12" s="164"/>
      <c r="C12" s="27"/>
      <c r="D12" s="29"/>
    </row>
    <row r="13" spans="1:4" ht="12.75">
      <c r="A13" s="29"/>
      <c r="B13" s="164"/>
      <c r="C13" s="27"/>
      <c r="D13" s="29"/>
    </row>
    <row r="14" spans="1:4" ht="12.75">
      <c r="A14" s="29" t="s">
        <v>66</v>
      </c>
      <c r="B14" s="186">
        <v>3</v>
      </c>
      <c r="C14" s="32" t="s">
        <v>230</v>
      </c>
      <c r="D14" s="29" t="s">
        <v>64</v>
      </c>
    </row>
    <row r="15" spans="1:4" ht="12.75">
      <c r="A15" s="33" t="s">
        <v>67</v>
      </c>
      <c r="B15" s="186">
        <v>3</v>
      </c>
      <c r="C15" s="32" t="s">
        <v>230</v>
      </c>
      <c r="D15" s="29" t="s">
        <v>64</v>
      </c>
    </row>
    <row r="16" spans="1:4" ht="12.75">
      <c r="A16" s="33"/>
      <c r="B16" s="37"/>
      <c r="C16" s="27"/>
      <c r="D16" s="29"/>
    </row>
    <row r="17" spans="1:4" ht="12.75">
      <c r="A17" s="33"/>
      <c r="B17" s="37"/>
      <c r="C17" s="27"/>
      <c r="D17" s="29"/>
    </row>
    <row r="18" spans="1:4" ht="12.75">
      <c r="A18" s="29"/>
      <c r="B18" s="28"/>
      <c r="C18" s="27"/>
      <c r="D18" s="29"/>
    </row>
    <row r="19" spans="1:4" ht="15.75">
      <c r="A19" s="38" t="s">
        <v>54</v>
      </c>
      <c r="B19" s="28"/>
      <c r="C19" s="27"/>
      <c r="D19" s="29"/>
    </row>
    <row r="20" spans="1:4" ht="12.75">
      <c r="A20" s="29"/>
      <c r="B20" s="28"/>
      <c r="C20" s="27"/>
      <c r="D20" s="29"/>
    </row>
    <row r="21" spans="1:6" ht="12.75">
      <c r="A21" s="41" t="s">
        <v>68</v>
      </c>
      <c r="B21" s="32" t="s">
        <v>78</v>
      </c>
      <c r="C21" t="s">
        <v>85</v>
      </c>
      <c r="D21" s="32" t="s">
        <v>80</v>
      </c>
      <c r="E21" s="27" t="s">
        <v>70</v>
      </c>
      <c r="F21" s="27"/>
    </row>
    <row r="22" spans="1:6" ht="12.75">
      <c r="A22" s="25"/>
      <c r="B22" s="32" t="s">
        <v>84</v>
      </c>
      <c r="C22" s="32" t="s">
        <v>81</v>
      </c>
      <c r="D22" s="32" t="s">
        <v>81</v>
      </c>
      <c r="E22" s="27" t="s">
        <v>73</v>
      </c>
      <c r="F22" s="27"/>
    </row>
    <row r="23" spans="1:6" ht="12.75">
      <c r="A23" s="25"/>
      <c r="B23" s="42">
        <f>B8</f>
        <v>600</v>
      </c>
      <c r="C23" s="49">
        <f>B10/100</f>
        <v>0.32</v>
      </c>
      <c r="D23" s="42">
        <f>B14/100</f>
        <v>0.03</v>
      </c>
      <c r="E23" s="47">
        <f>B23*C23*D23</f>
        <v>5.76</v>
      </c>
      <c r="F23" s="45" t="s">
        <v>74</v>
      </c>
    </row>
    <row r="24" spans="1:4" ht="12.75">
      <c r="A24" s="25"/>
      <c r="B24" s="26"/>
      <c r="D24" s="27"/>
    </row>
    <row r="25" spans="1:4" ht="12.75">
      <c r="A25" s="25"/>
      <c r="B25" s="25"/>
      <c r="D25" s="25"/>
    </row>
    <row r="26" ht="15.75">
      <c r="A26" s="39" t="s">
        <v>55</v>
      </c>
    </row>
    <row r="28" spans="1:6" ht="12.75">
      <c r="A28" s="41" t="s">
        <v>68</v>
      </c>
      <c r="B28" s="32" t="s">
        <v>78</v>
      </c>
      <c r="C28" t="s">
        <v>85</v>
      </c>
      <c r="D28" s="32" t="s">
        <v>80</v>
      </c>
      <c r="E28" s="27" t="s">
        <v>70</v>
      </c>
      <c r="F28" s="25"/>
    </row>
    <row r="29" spans="1:6" ht="12.75">
      <c r="A29" s="25"/>
      <c r="B29" s="32" t="s">
        <v>79</v>
      </c>
      <c r="C29" s="32" t="s">
        <v>82</v>
      </c>
      <c r="D29" s="32" t="s">
        <v>82</v>
      </c>
      <c r="E29" s="27" t="s">
        <v>76</v>
      </c>
      <c r="F29" s="25"/>
    </row>
    <row r="30" spans="1:6" ht="12.75">
      <c r="A30" s="25"/>
      <c r="B30" s="46">
        <f>B9</f>
        <v>750</v>
      </c>
      <c r="C30" s="49">
        <f>B10/100</f>
        <v>0.32</v>
      </c>
      <c r="D30" s="42">
        <f>B15/100</f>
        <v>0.03</v>
      </c>
      <c r="E30" s="47">
        <f>B30*C30*D30</f>
        <v>7.199999999999999</v>
      </c>
      <c r="F30" s="45" t="s">
        <v>77</v>
      </c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Footer>&amp;LOK MARBLE EMISSION CALCULATIONS.XLS&amp;RPRINTED ON RECYCLED PAPER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A1" sqref="A1:G1"/>
    </sheetView>
  </sheetViews>
  <sheetFormatPr defaultColWidth="9.140625" defaultRowHeight="12.75"/>
  <cols>
    <col min="1" max="1" width="35.28125" style="0" customWidth="1"/>
    <col min="2" max="2" width="15.7109375" style="0" customWidth="1"/>
    <col min="3" max="3" width="21.421875" style="0" customWidth="1"/>
    <col min="4" max="4" width="24.140625" style="0" customWidth="1"/>
    <col min="5" max="5" width="24.57421875" style="0" customWidth="1"/>
    <col min="6" max="6" width="25.421875" style="0" customWidth="1"/>
  </cols>
  <sheetData>
    <row r="1" spans="1:7" ht="18">
      <c r="A1" s="188" t="s">
        <v>2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7" ht="18">
      <c r="A4" s="189" t="s">
        <v>57</v>
      </c>
      <c r="B4" s="189"/>
      <c r="C4" s="189"/>
      <c r="D4" s="189"/>
      <c r="E4" s="189"/>
      <c r="F4" s="189"/>
      <c r="G4" s="189"/>
    </row>
    <row r="5" spans="1:7" ht="18">
      <c r="A5" s="187" t="s">
        <v>58</v>
      </c>
      <c r="B5" s="187"/>
      <c r="C5" s="187"/>
      <c r="D5" s="187"/>
      <c r="E5" s="187"/>
      <c r="F5" s="187"/>
      <c r="G5" s="187"/>
    </row>
    <row r="7" spans="1:4" ht="12.75">
      <c r="A7" s="24" t="s">
        <v>35</v>
      </c>
      <c r="B7" s="24" t="s">
        <v>36</v>
      </c>
      <c r="C7" s="24" t="s">
        <v>37</v>
      </c>
      <c r="D7" s="24" t="s">
        <v>38</v>
      </c>
    </row>
    <row r="8" spans="1:4" ht="12.75">
      <c r="A8" s="29" t="s">
        <v>88</v>
      </c>
      <c r="B8" s="160">
        <v>2</v>
      </c>
      <c r="C8" s="32" t="s">
        <v>39</v>
      </c>
      <c r="D8" s="29" t="s">
        <v>44</v>
      </c>
    </row>
    <row r="9" spans="1:4" ht="12.75">
      <c r="A9" s="29" t="s">
        <v>87</v>
      </c>
      <c r="B9" s="160">
        <v>400</v>
      </c>
      <c r="C9" s="32" t="s">
        <v>40</v>
      </c>
      <c r="D9" s="29" t="s">
        <v>44</v>
      </c>
    </row>
    <row r="10" spans="1:4" ht="12.75">
      <c r="A10" s="29" t="s">
        <v>91</v>
      </c>
      <c r="B10" s="160">
        <v>0.5</v>
      </c>
      <c r="C10" s="32" t="s">
        <v>92</v>
      </c>
      <c r="D10" s="29" t="s">
        <v>44</v>
      </c>
    </row>
    <row r="11" spans="1:4" ht="14.25" customHeight="1">
      <c r="A11" s="29" t="s">
        <v>99</v>
      </c>
      <c r="B11" s="160">
        <v>0</v>
      </c>
      <c r="C11" s="27" t="s">
        <v>41</v>
      </c>
      <c r="D11" s="29" t="s">
        <v>46</v>
      </c>
    </row>
    <row r="12" spans="1:4" ht="14.25" customHeight="1">
      <c r="A12" s="29" t="s">
        <v>100</v>
      </c>
      <c r="B12" s="160">
        <v>6.69</v>
      </c>
      <c r="C12" s="27" t="s">
        <v>41</v>
      </c>
      <c r="D12" s="29" t="s">
        <v>46</v>
      </c>
    </row>
    <row r="13" spans="1:4" ht="14.25" customHeight="1">
      <c r="A13" s="29" t="s">
        <v>236</v>
      </c>
      <c r="B13" s="160">
        <v>6.69</v>
      </c>
      <c r="C13" s="27" t="s">
        <v>41</v>
      </c>
      <c r="D13" s="29" t="s">
        <v>46</v>
      </c>
    </row>
    <row r="14" spans="1:4" ht="14.25" customHeight="1">
      <c r="A14" s="29"/>
      <c r="B14" s="160"/>
      <c r="C14" s="32"/>
      <c r="D14" s="29"/>
    </row>
    <row r="15" spans="1:4" ht="12.75">
      <c r="A15" s="29"/>
      <c r="B15" s="160"/>
      <c r="C15" s="32"/>
      <c r="D15" s="29"/>
    </row>
    <row r="16" spans="1:4" ht="12.75">
      <c r="A16" s="29" t="s">
        <v>89</v>
      </c>
      <c r="B16" s="160">
        <v>2</v>
      </c>
      <c r="C16" s="32" t="s">
        <v>39</v>
      </c>
      <c r="D16" s="29" t="s">
        <v>44</v>
      </c>
    </row>
    <row r="17" spans="1:4" ht="12.75">
      <c r="A17" s="29" t="s">
        <v>90</v>
      </c>
      <c r="B17" s="160">
        <v>750</v>
      </c>
      <c r="C17" s="32" t="s">
        <v>40</v>
      </c>
      <c r="D17" s="29" t="s">
        <v>44</v>
      </c>
    </row>
    <row r="18" spans="1:4" ht="12.75">
      <c r="A18" s="29" t="s">
        <v>101</v>
      </c>
      <c r="B18" s="160">
        <v>0.9</v>
      </c>
      <c r="C18" s="32" t="s">
        <v>92</v>
      </c>
      <c r="D18" s="29" t="s">
        <v>44</v>
      </c>
    </row>
    <row r="19" spans="1:4" ht="14.25" customHeight="1">
      <c r="A19" s="29" t="s">
        <v>99</v>
      </c>
      <c r="B19" s="160">
        <v>8.2</v>
      </c>
      <c r="C19" s="27" t="s">
        <v>41</v>
      </c>
      <c r="D19" s="29" t="s">
        <v>46</v>
      </c>
    </row>
    <row r="20" spans="1:4" ht="14.25" customHeight="1">
      <c r="A20" s="29" t="s">
        <v>100</v>
      </c>
      <c r="B20" s="160">
        <v>0</v>
      </c>
      <c r="C20" s="27" t="s">
        <v>41</v>
      </c>
      <c r="D20" s="29" t="s">
        <v>46</v>
      </c>
    </row>
    <row r="21" spans="1:4" ht="14.25" customHeight="1">
      <c r="A21" s="29" t="s">
        <v>236</v>
      </c>
      <c r="B21" s="160">
        <v>8.2</v>
      </c>
      <c r="C21" s="27" t="s">
        <v>41</v>
      </c>
      <c r="D21" s="29" t="s">
        <v>46</v>
      </c>
    </row>
    <row r="22" spans="1:4" ht="14.25" customHeight="1">
      <c r="A22" s="29"/>
      <c r="B22" s="163"/>
      <c r="C22" s="27"/>
      <c r="D22" s="29"/>
    </row>
    <row r="23" spans="1:4" ht="14.25" customHeight="1">
      <c r="A23" s="32" t="s">
        <v>231</v>
      </c>
      <c r="B23" s="163"/>
      <c r="C23" s="27"/>
      <c r="D23" s="29"/>
    </row>
    <row r="24" spans="1:4" ht="14.25" customHeight="1">
      <c r="A24" s="156" t="s">
        <v>222</v>
      </c>
      <c r="B24" s="160">
        <v>73</v>
      </c>
      <c r="C24" s="32" t="s">
        <v>230</v>
      </c>
      <c r="D24" s="29" t="s">
        <v>46</v>
      </c>
    </row>
    <row r="25" spans="1:4" ht="14.25" customHeight="1">
      <c r="A25" s="156" t="s">
        <v>223</v>
      </c>
      <c r="B25" s="160">
        <v>27</v>
      </c>
      <c r="C25" s="32" t="s">
        <v>230</v>
      </c>
      <c r="D25" s="29" t="s">
        <v>46</v>
      </c>
    </row>
    <row r="26" spans="1:4" ht="14.25" customHeight="1">
      <c r="A26" s="156" t="s">
        <v>224</v>
      </c>
      <c r="B26" s="160">
        <v>25</v>
      </c>
      <c r="C26" s="32" t="s">
        <v>230</v>
      </c>
      <c r="D26" s="29" t="s">
        <v>46</v>
      </c>
    </row>
    <row r="27" spans="1:4" ht="12.75">
      <c r="A27" s="33"/>
      <c r="B27" s="37"/>
      <c r="C27" s="27"/>
      <c r="D27" s="29"/>
    </row>
    <row r="28" spans="1:4" ht="12.75">
      <c r="A28" s="29"/>
      <c r="B28" s="28"/>
      <c r="C28" s="27"/>
      <c r="D28" s="29"/>
    </row>
    <row r="29" spans="1:8" ht="15.75">
      <c r="A29" s="157" t="s">
        <v>93</v>
      </c>
      <c r="B29" s="25"/>
      <c r="C29" s="25"/>
      <c r="D29" s="25"/>
      <c r="E29" s="25"/>
      <c r="F29" s="25"/>
      <c r="G29" s="25"/>
      <c r="H29" s="25"/>
    </row>
    <row r="30" spans="1:7" ht="12.75">
      <c r="A30" s="41" t="s">
        <v>68</v>
      </c>
      <c r="B30" s="32" t="s">
        <v>102</v>
      </c>
      <c r="C30" s="27" t="s">
        <v>69</v>
      </c>
      <c r="D30" s="32" t="s">
        <v>104</v>
      </c>
      <c r="E30" s="27" t="s">
        <v>70</v>
      </c>
      <c r="F30" s="27"/>
      <c r="G30" s="25"/>
    </row>
    <row r="31" spans="1:7" ht="12.75">
      <c r="A31" s="25"/>
      <c r="B31" s="27" t="s">
        <v>71</v>
      </c>
      <c r="C31" s="27" t="s">
        <v>72</v>
      </c>
      <c r="D31" s="32" t="s">
        <v>103</v>
      </c>
      <c r="E31" s="27" t="s">
        <v>73</v>
      </c>
      <c r="F31" s="27"/>
      <c r="G31" s="25"/>
    </row>
    <row r="32" spans="1:7" ht="12.75">
      <c r="A32" s="25"/>
      <c r="B32" s="48">
        <f>B16</f>
        <v>2</v>
      </c>
      <c r="C32" s="42">
        <f>B19</f>
        <v>8.2</v>
      </c>
      <c r="D32" s="52">
        <f>1-B18</f>
        <v>0.09999999999999998</v>
      </c>
      <c r="E32" s="44">
        <f>B32*C32*D32</f>
        <v>1.6399999999999995</v>
      </c>
      <c r="F32" s="45" t="s">
        <v>74</v>
      </c>
      <c r="G32" s="25"/>
    </row>
    <row r="33" spans="1:7" ht="12.75">
      <c r="A33" s="25"/>
      <c r="B33" s="27"/>
      <c r="C33" s="42"/>
      <c r="D33" s="43"/>
      <c r="E33" s="44"/>
      <c r="F33" s="45"/>
      <c r="G33" s="25"/>
    </row>
    <row r="34" spans="1:7" ht="12.75">
      <c r="A34" s="41" t="s">
        <v>94</v>
      </c>
      <c r="B34" s="32" t="s">
        <v>102</v>
      </c>
      <c r="C34" s="32" t="s">
        <v>95</v>
      </c>
      <c r="D34" s="32" t="s">
        <v>104</v>
      </c>
      <c r="E34" s="50" t="s">
        <v>96</v>
      </c>
      <c r="F34" s="27"/>
      <c r="G34" s="25"/>
    </row>
    <row r="35" spans="1:7" ht="12.75">
      <c r="A35" s="25"/>
      <c r="B35" s="27" t="s">
        <v>71</v>
      </c>
      <c r="C35" s="27" t="s">
        <v>72</v>
      </c>
      <c r="D35" s="32" t="s">
        <v>103</v>
      </c>
      <c r="E35" s="27" t="s">
        <v>73</v>
      </c>
      <c r="F35" s="27"/>
      <c r="G35" s="25"/>
    </row>
    <row r="36" spans="1:7" ht="12.75">
      <c r="A36" s="25"/>
      <c r="B36" s="48">
        <f>B8</f>
        <v>2</v>
      </c>
      <c r="C36" s="42">
        <f>B12</f>
        <v>6.69</v>
      </c>
      <c r="D36" s="48">
        <f>1-B10</f>
        <v>0.5</v>
      </c>
      <c r="E36" s="44">
        <f>B36*C36*D36</f>
        <v>6.69</v>
      </c>
      <c r="F36" s="45" t="s">
        <v>97</v>
      </c>
      <c r="G36" s="25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5"/>
      <c r="B38" s="25"/>
      <c r="C38" s="25"/>
      <c r="D38" s="25"/>
      <c r="E38" s="25"/>
      <c r="F38" s="25"/>
      <c r="G38" s="25"/>
    </row>
    <row r="39" spans="1:7" ht="15.75">
      <c r="A39" s="157" t="s">
        <v>65</v>
      </c>
      <c r="B39" s="25"/>
      <c r="C39" s="25"/>
      <c r="D39" s="25"/>
      <c r="E39" s="25"/>
      <c r="F39" s="25"/>
      <c r="G39" s="25"/>
    </row>
    <row r="40" spans="1:7" ht="12.75">
      <c r="A40" s="41" t="s">
        <v>68</v>
      </c>
      <c r="B40" s="32" t="s">
        <v>102</v>
      </c>
      <c r="C40" s="27" t="s">
        <v>69</v>
      </c>
      <c r="D40" s="32" t="s">
        <v>104</v>
      </c>
      <c r="E40" s="27" t="s">
        <v>70</v>
      </c>
      <c r="F40" s="25"/>
      <c r="G40" s="25"/>
    </row>
    <row r="41" spans="1:7" ht="12.75">
      <c r="A41" s="25"/>
      <c r="B41" s="27" t="s">
        <v>75</v>
      </c>
      <c r="C41" s="27" t="s">
        <v>72</v>
      </c>
      <c r="D41" s="32" t="s">
        <v>103</v>
      </c>
      <c r="E41" s="27" t="s">
        <v>76</v>
      </c>
      <c r="F41" s="25"/>
      <c r="G41" s="25"/>
    </row>
    <row r="42" spans="1:7" ht="12.75">
      <c r="A42" s="25"/>
      <c r="B42" s="46">
        <f>B17</f>
        <v>750</v>
      </c>
      <c r="C42" s="42">
        <f>B19</f>
        <v>8.2</v>
      </c>
      <c r="D42" s="48">
        <f>1-B18</f>
        <v>0.09999999999999998</v>
      </c>
      <c r="E42" s="47">
        <f>(B42*C42*D42)/2000</f>
        <v>0.3074999999999999</v>
      </c>
      <c r="F42" s="45" t="s">
        <v>77</v>
      </c>
      <c r="G42" s="25"/>
    </row>
    <row r="43" spans="1:7" ht="12.75">
      <c r="A43" s="25"/>
      <c r="B43" s="46"/>
      <c r="C43" s="42"/>
      <c r="D43" s="43"/>
      <c r="E43" s="51"/>
      <c r="F43" s="45"/>
      <c r="G43" s="25"/>
    </row>
    <row r="44" spans="1:7" ht="12.75">
      <c r="A44" s="41" t="s">
        <v>94</v>
      </c>
      <c r="B44" s="32" t="s">
        <v>102</v>
      </c>
      <c r="C44" s="32" t="s">
        <v>95</v>
      </c>
      <c r="D44" s="32" t="s">
        <v>104</v>
      </c>
      <c r="E44" s="50" t="s">
        <v>96</v>
      </c>
      <c r="F44" s="25"/>
      <c r="G44" s="25"/>
    </row>
    <row r="45" spans="1:7" ht="12.75">
      <c r="A45" s="25"/>
      <c r="B45" s="27" t="s">
        <v>75</v>
      </c>
      <c r="C45" s="27" t="s">
        <v>72</v>
      </c>
      <c r="D45" s="32" t="s">
        <v>103</v>
      </c>
      <c r="E45" s="27" t="s">
        <v>76</v>
      </c>
      <c r="F45" s="25"/>
      <c r="G45" s="25"/>
    </row>
    <row r="46" spans="1:7" ht="12.75">
      <c r="A46" s="25"/>
      <c r="B46" s="46">
        <f>B9</f>
        <v>400</v>
      </c>
      <c r="C46" s="42">
        <f>B12</f>
        <v>6.69</v>
      </c>
      <c r="D46" s="42">
        <f>1-B10</f>
        <v>0.5</v>
      </c>
      <c r="E46" s="47">
        <f>(B46*C46*D46)/2000</f>
        <v>0.669</v>
      </c>
      <c r="F46" s="45" t="s">
        <v>98</v>
      </c>
      <c r="G46" s="25"/>
    </row>
    <row r="47" spans="1:7" ht="12.75">
      <c r="A47" s="25"/>
      <c r="B47" s="25"/>
      <c r="C47" s="25"/>
      <c r="D47" s="25"/>
      <c r="E47" s="25"/>
      <c r="F47" s="25"/>
      <c r="G47" s="25"/>
    </row>
    <row r="49" ht="15.75">
      <c r="A49" s="157" t="s">
        <v>93</v>
      </c>
    </row>
    <row r="50" spans="1:7" ht="15.75">
      <c r="A50" s="158" t="s">
        <v>232</v>
      </c>
      <c r="B50" s="32" t="s">
        <v>102</v>
      </c>
      <c r="C50" s="32" t="s">
        <v>235</v>
      </c>
      <c r="D50" s="32" t="s">
        <v>104</v>
      </c>
      <c r="E50" s="32" t="s">
        <v>233</v>
      </c>
      <c r="F50" s="32" t="s">
        <v>237</v>
      </c>
      <c r="G50" s="27"/>
    </row>
    <row r="51" spans="2:7" ht="12.75">
      <c r="B51" s="27" t="s">
        <v>71</v>
      </c>
      <c r="C51" s="27" t="s">
        <v>72</v>
      </c>
      <c r="D51" s="32" t="s">
        <v>103</v>
      </c>
      <c r="E51" s="32" t="s">
        <v>234</v>
      </c>
      <c r="F51" s="27" t="s">
        <v>73</v>
      </c>
      <c r="G51" s="27"/>
    </row>
    <row r="52" spans="1:7" ht="12.75">
      <c r="A52" s="156" t="s">
        <v>222</v>
      </c>
      <c r="B52" s="48">
        <f>B16</f>
        <v>2</v>
      </c>
      <c r="C52" s="42">
        <f>B21</f>
        <v>8.2</v>
      </c>
      <c r="D52" s="97">
        <f>1-B18</f>
        <v>0.09999999999999998</v>
      </c>
      <c r="E52" s="83">
        <f>B24</f>
        <v>73</v>
      </c>
      <c r="F52" s="44">
        <f>B52*C52*D52*E52/100</f>
        <v>1.1971999999999996</v>
      </c>
      <c r="G52" s="45" t="s">
        <v>83</v>
      </c>
    </row>
    <row r="53" spans="1:7" ht="12.75">
      <c r="A53" s="156" t="s">
        <v>223</v>
      </c>
      <c r="B53" s="48">
        <f>B16</f>
        <v>2</v>
      </c>
      <c r="C53" s="42">
        <f>B21</f>
        <v>8.2</v>
      </c>
      <c r="D53" s="97">
        <f>1-B18</f>
        <v>0.09999999999999998</v>
      </c>
      <c r="E53" s="83">
        <f>B25</f>
        <v>27</v>
      </c>
      <c r="F53" s="44">
        <f>B53*C53*D53*E53/100</f>
        <v>0.44279999999999986</v>
      </c>
      <c r="G53" s="45" t="s">
        <v>83</v>
      </c>
    </row>
    <row r="54" spans="1:7" ht="12.75">
      <c r="A54" s="156" t="s">
        <v>224</v>
      </c>
      <c r="B54" s="83">
        <f>B16</f>
        <v>2</v>
      </c>
      <c r="C54" s="100">
        <f>B21</f>
        <v>8.2</v>
      </c>
      <c r="D54" s="97">
        <f>1-B18</f>
        <v>0.09999999999999998</v>
      </c>
      <c r="E54" s="83">
        <f>B26</f>
        <v>25</v>
      </c>
      <c r="F54" s="44">
        <f>B54*C54*D54*E54/100</f>
        <v>0.40999999999999986</v>
      </c>
      <c r="G54" s="45" t="s">
        <v>83</v>
      </c>
    </row>
    <row r="55" ht="12.75">
      <c r="E55" s="77"/>
    </row>
    <row r="56" ht="12.75">
      <c r="E56" s="77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&amp;LOK MARBLE EMISSION CALCULATIONS.XLS&amp;RPRINTED ON RECYCLED PAPER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:G1"/>
    </sheetView>
  </sheetViews>
  <sheetFormatPr defaultColWidth="9.140625" defaultRowHeight="12.75"/>
  <cols>
    <col min="1" max="1" width="51.7109375" style="0" customWidth="1"/>
    <col min="2" max="2" width="23.421875" style="0" customWidth="1"/>
    <col min="3" max="3" width="24.8515625" style="0" customWidth="1"/>
    <col min="4" max="4" width="25.00390625" style="0" customWidth="1"/>
    <col min="5" max="5" width="19.421875" style="0" customWidth="1"/>
    <col min="6" max="6" width="15.7109375" style="0" customWidth="1"/>
    <col min="7" max="7" width="22.7109375" style="0" customWidth="1"/>
    <col min="8" max="8" width="15.7109375" style="0" customWidth="1"/>
  </cols>
  <sheetData>
    <row r="1" spans="1:7" ht="18">
      <c r="A1" s="188" t="s">
        <v>3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7" ht="18">
      <c r="A4" s="189" t="s">
        <v>105</v>
      </c>
      <c r="B4" s="189"/>
      <c r="C4" s="189"/>
      <c r="D4" s="189"/>
      <c r="E4" s="189"/>
      <c r="F4" s="189"/>
      <c r="G4" s="189"/>
    </row>
    <row r="5" spans="1:7" ht="18">
      <c r="A5" s="187" t="s">
        <v>106</v>
      </c>
      <c r="B5" s="187"/>
      <c r="C5" s="187"/>
      <c r="D5" s="187"/>
      <c r="E5" s="187"/>
      <c r="F5" s="187"/>
      <c r="G5" s="187"/>
    </row>
    <row r="6" spans="1:7" ht="18">
      <c r="A6" s="40"/>
      <c r="B6" s="40"/>
      <c r="C6" s="40"/>
      <c r="D6" s="40"/>
      <c r="E6" s="40"/>
      <c r="F6" s="40"/>
      <c r="G6" s="40"/>
    </row>
    <row r="7" spans="1:4" ht="12.75">
      <c r="A7" s="24" t="s">
        <v>35</v>
      </c>
      <c r="B7" s="24" t="s">
        <v>36</v>
      </c>
      <c r="C7" s="24" t="s">
        <v>37</v>
      </c>
      <c r="D7" s="24" t="s">
        <v>38</v>
      </c>
    </row>
    <row r="8" spans="1:4" ht="12.75">
      <c r="A8" s="29" t="s">
        <v>239</v>
      </c>
      <c r="B8" s="160">
        <v>1350</v>
      </c>
      <c r="C8" s="32" t="s">
        <v>83</v>
      </c>
      <c r="D8" s="29" t="s">
        <v>44</v>
      </c>
    </row>
    <row r="9" spans="1:4" ht="12.75">
      <c r="A9" s="29" t="s">
        <v>240</v>
      </c>
      <c r="B9" s="165">
        <v>0.0078</v>
      </c>
      <c r="C9" s="32" t="s">
        <v>241</v>
      </c>
      <c r="D9" s="29" t="s">
        <v>44</v>
      </c>
    </row>
    <row r="10" spans="1:4" ht="12.75">
      <c r="A10" s="29" t="s">
        <v>132</v>
      </c>
      <c r="B10" s="166">
        <v>0.99</v>
      </c>
      <c r="C10" s="27" t="s">
        <v>116</v>
      </c>
      <c r="D10" s="29" t="s">
        <v>131</v>
      </c>
    </row>
    <row r="11" spans="1:4" ht="12.75">
      <c r="A11" s="29" t="s">
        <v>133</v>
      </c>
      <c r="B11" s="167">
        <v>1100</v>
      </c>
      <c r="C11" s="32" t="s">
        <v>134</v>
      </c>
      <c r="D11" s="29" t="s">
        <v>44</v>
      </c>
    </row>
    <row r="12" ht="12.75">
      <c r="A12" s="65"/>
    </row>
    <row r="13" ht="15.75">
      <c r="A13" s="39" t="s">
        <v>123</v>
      </c>
    </row>
    <row r="14" spans="1:6" ht="12.75">
      <c r="A14" s="41" t="s">
        <v>117</v>
      </c>
      <c r="B14" s="32" t="s">
        <v>242</v>
      </c>
      <c r="C14" s="32" t="s">
        <v>80</v>
      </c>
      <c r="D14" s="27" t="s">
        <v>118</v>
      </c>
      <c r="E14" s="27" t="s">
        <v>119</v>
      </c>
      <c r="F14" s="25"/>
    </row>
    <row r="15" spans="1:6" ht="12.75">
      <c r="A15" s="25"/>
      <c r="B15" s="32" t="s">
        <v>84</v>
      </c>
      <c r="C15" s="32" t="s">
        <v>103</v>
      </c>
      <c r="D15" s="27" t="s">
        <v>121</v>
      </c>
      <c r="E15" s="27" t="s">
        <v>73</v>
      </c>
      <c r="F15" s="25"/>
    </row>
    <row r="16" spans="1:6" ht="12.75">
      <c r="A16" s="25"/>
      <c r="B16" s="42">
        <f>B8</f>
        <v>1350</v>
      </c>
      <c r="C16" s="159">
        <f>B9</f>
        <v>0.0078</v>
      </c>
      <c r="D16" s="43">
        <f>1-B10</f>
        <v>0.010000000000000009</v>
      </c>
      <c r="E16" s="47">
        <f>B16*C16*D16</f>
        <v>0.10530000000000009</v>
      </c>
      <c r="F16" s="64" t="s">
        <v>120</v>
      </c>
    </row>
    <row r="18" ht="15.75">
      <c r="A18" s="39" t="s">
        <v>65</v>
      </c>
    </row>
    <row r="19" spans="1:6" ht="12.75">
      <c r="A19" s="41" t="s">
        <v>117</v>
      </c>
      <c r="B19" s="32" t="s">
        <v>243</v>
      </c>
      <c r="C19" t="s">
        <v>135</v>
      </c>
      <c r="D19" s="70" t="s">
        <v>165</v>
      </c>
      <c r="E19" s="27" t="s">
        <v>119</v>
      </c>
      <c r="F19" s="25"/>
    </row>
    <row r="20" spans="1:6" ht="12.75">
      <c r="A20" s="25"/>
      <c r="B20" s="32" t="s">
        <v>84</v>
      </c>
      <c r="C20" s="77" t="s">
        <v>136</v>
      </c>
      <c r="D20" s="49" t="s">
        <v>166</v>
      </c>
      <c r="E20" s="27" t="s">
        <v>76</v>
      </c>
      <c r="F20" s="25"/>
    </row>
    <row r="21" spans="1:6" ht="12.75">
      <c r="A21" s="25"/>
      <c r="B21" s="78">
        <f>E16</f>
        <v>0.10530000000000009</v>
      </c>
      <c r="C21" s="79">
        <f>B11</f>
        <v>1100</v>
      </c>
      <c r="D21" s="77">
        <f>1/2000</f>
        <v>0.0005</v>
      </c>
      <c r="E21" s="47">
        <f>B21*C21*D21</f>
        <v>0.05791500000000005</v>
      </c>
      <c r="F21" s="64" t="s">
        <v>122</v>
      </c>
    </row>
    <row r="22" spans="1:8" ht="12.75">
      <c r="A22" s="25"/>
      <c r="B22" s="25"/>
      <c r="C22" s="25"/>
      <c r="D22" s="43"/>
      <c r="F22" s="25"/>
      <c r="G22" s="25"/>
      <c r="H22" s="25"/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&amp;LOK MARBLE EMISSION CALCULATIONS.XLS&amp;RPRINTED ON RECYCLED PAPER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G1"/>
    </sheetView>
  </sheetViews>
  <sheetFormatPr defaultColWidth="9.140625" defaultRowHeight="12.75"/>
  <cols>
    <col min="1" max="1" width="49.28125" style="0" customWidth="1"/>
    <col min="2" max="5" width="20.7109375" style="0" customWidth="1"/>
    <col min="6" max="6" width="19.28125" style="0" customWidth="1"/>
    <col min="7" max="7" width="22.00390625" style="0" customWidth="1"/>
    <col min="8" max="8" width="15.7109375" style="0" customWidth="1"/>
  </cols>
  <sheetData>
    <row r="1" spans="1:7" ht="18">
      <c r="A1" s="188" t="s">
        <v>137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7" ht="18">
      <c r="A4" s="189" t="s">
        <v>43</v>
      </c>
      <c r="B4" s="189"/>
      <c r="C4" s="189"/>
      <c r="D4" s="189"/>
      <c r="E4" s="189"/>
      <c r="F4" s="189"/>
      <c r="G4" s="189"/>
    </row>
    <row r="5" spans="1:7" ht="18">
      <c r="A5" s="187" t="s">
        <v>138</v>
      </c>
      <c r="B5" s="187"/>
      <c r="C5" s="187"/>
      <c r="D5" s="187"/>
      <c r="E5" s="187"/>
      <c r="F5" s="187"/>
      <c r="G5" s="187"/>
    </row>
    <row r="8" spans="1:4" ht="12.75">
      <c r="A8" s="24" t="s">
        <v>35</v>
      </c>
      <c r="B8" s="24" t="s">
        <v>36</v>
      </c>
      <c r="C8" s="24" t="s">
        <v>37</v>
      </c>
      <c r="D8" s="24" t="s">
        <v>38</v>
      </c>
    </row>
    <row r="9" spans="1:4" ht="12.75">
      <c r="A9" s="24"/>
      <c r="B9" s="24"/>
      <c r="C9" s="24"/>
      <c r="D9" s="24"/>
    </row>
    <row r="10" spans="1:4" ht="15.75">
      <c r="A10" s="81" t="s">
        <v>148</v>
      </c>
      <c r="B10" s="168">
        <v>6000</v>
      </c>
      <c r="C10" s="80" t="s">
        <v>39</v>
      </c>
      <c r="D10" s="81" t="s">
        <v>139</v>
      </c>
    </row>
    <row r="11" spans="1:4" ht="15.75">
      <c r="A11" s="81" t="s">
        <v>149</v>
      </c>
      <c r="B11" s="168">
        <v>8000</v>
      </c>
      <c r="C11" s="80" t="s">
        <v>140</v>
      </c>
      <c r="D11" s="81" t="s">
        <v>139</v>
      </c>
    </row>
    <row r="12" spans="1:4" ht="12.75">
      <c r="A12" s="81" t="s">
        <v>150</v>
      </c>
      <c r="B12" s="169">
        <v>19</v>
      </c>
      <c r="C12" s="80" t="s">
        <v>141</v>
      </c>
      <c r="D12" s="81" t="s">
        <v>139</v>
      </c>
    </row>
    <row r="13" spans="1:4" ht="15.75">
      <c r="A13" s="81" t="s">
        <v>151</v>
      </c>
      <c r="B13" s="170">
        <v>0.1438</v>
      </c>
      <c r="C13" s="80" t="s">
        <v>145</v>
      </c>
      <c r="D13" s="81" t="s">
        <v>142</v>
      </c>
    </row>
    <row r="14" spans="1:4" ht="12.75">
      <c r="A14" s="81" t="s">
        <v>143</v>
      </c>
      <c r="B14" s="169">
        <v>12</v>
      </c>
      <c r="C14" s="80" t="s">
        <v>144</v>
      </c>
      <c r="D14" s="81" t="s">
        <v>139</v>
      </c>
    </row>
    <row r="15" spans="1:4" ht="12.75">
      <c r="A15" s="81"/>
      <c r="B15" s="169"/>
      <c r="C15" s="80"/>
      <c r="D15" s="81"/>
    </row>
    <row r="16" spans="1:4" ht="12.75">
      <c r="A16" s="80" t="s">
        <v>238</v>
      </c>
      <c r="B16" s="169"/>
      <c r="C16" s="80"/>
      <c r="D16" s="81"/>
    </row>
    <row r="17" spans="1:4" ht="12.75">
      <c r="A17" s="81" t="s">
        <v>126</v>
      </c>
      <c r="B17" s="169">
        <v>32</v>
      </c>
      <c r="C17" s="32" t="s">
        <v>230</v>
      </c>
      <c r="D17" s="29" t="s">
        <v>46</v>
      </c>
    </row>
    <row r="18" spans="1:4" ht="12.75">
      <c r="A18" s="81" t="s">
        <v>244</v>
      </c>
      <c r="B18" s="169">
        <v>68</v>
      </c>
      <c r="C18" s="32" t="s">
        <v>230</v>
      </c>
      <c r="D18" s="29" t="s">
        <v>46</v>
      </c>
    </row>
    <row r="19" spans="1:4" ht="12.75">
      <c r="A19" s="81"/>
      <c r="B19" s="171"/>
      <c r="C19" s="80"/>
      <c r="D19" s="81"/>
    </row>
    <row r="20" spans="1:4" ht="12.75">
      <c r="A20" s="81" t="s">
        <v>147</v>
      </c>
      <c r="B20" s="171">
        <v>100</v>
      </c>
      <c r="C20" s="80" t="s">
        <v>146</v>
      </c>
      <c r="D20" s="81" t="s">
        <v>142</v>
      </c>
    </row>
    <row r="21" spans="1:4" ht="12.75">
      <c r="A21" s="81"/>
      <c r="B21" s="82"/>
      <c r="C21" s="80"/>
      <c r="D21" s="81"/>
    </row>
    <row r="22" spans="1:4" ht="15.75">
      <c r="A22" s="81" t="s">
        <v>152</v>
      </c>
      <c r="B22" s="82"/>
      <c r="C22" s="80"/>
      <c r="D22" s="81"/>
    </row>
    <row r="23" spans="1:4" ht="12.75">
      <c r="A23" s="33"/>
      <c r="B23" s="37"/>
      <c r="C23" s="27"/>
      <c r="D23" s="29"/>
    </row>
    <row r="24" spans="1:4" ht="12.75">
      <c r="A24" s="29"/>
      <c r="B24" s="28"/>
      <c r="C24" s="27"/>
      <c r="D24" s="29"/>
    </row>
    <row r="25" spans="1:4" ht="15.75">
      <c r="A25" s="38" t="s">
        <v>54</v>
      </c>
      <c r="B25" s="28"/>
      <c r="C25" s="27"/>
      <c r="D25" s="29"/>
    </row>
    <row r="26" spans="1:4" ht="12.75">
      <c r="A26" s="29"/>
      <c r="B26" s="28"/>
      <c r="C26" s="27"/>
      <c r="D26" s="29"/>
    </row>
    <row r="27" spans="1:7" ht="15.75">
      <c r="A27" s="41" t="s">
        <v>68</v>
      </c>
      <c r="B27" s="32" t="s">
        <v>153</v>
      </c>
      <c r="C27" s="77" t="s">
        <v>161</v>
      </c>
      <c r="D27" s="77" t="s">
        <v>154</v>
      </c>
      <c r="E27" s="32" t="s">
        <v>155</v>
      </c>
      <c r="F27" s="32" t="s">
        <v>156</v>
      </c>
      <c r="G27" s="32" t="s">
        <v>70</v>
      </c>
    </row>
    <row r="28" spans="1:7" ht="12.75">
      <c r="A28" s="25"/>
      <c r="B28" s="32" t="s">
        <v>159</v>
      </c>
      <c r="C28" s="77" t="s">
        <v>160</v>
      </c>
      <c r="D28" s="32" t="s">
        <v>71</v>
      </c>
      <c r="E28" s="32" t="s">
        <v>158</v>
      </c>
      <c r="F28" s="32" t="s">
        <v>157</v>
      </c>
      <c r="G28" s="27"/>
    </row>
    <row r="29" spans="1:8" ht="12.75">
      <c r="A29" s="25"/>
      <c r="B29" s="42">
        <f>B13</f>
        <v>0.1438</v>
      </c>
      <c r="C29" s="83">
        <f>B14</f>
        <v>12</v>
      </c>
      <c r="D29" s="49">
        <f>B10</f>
        <v>6000</v>
      </c>
      <c r="E29" s="42">
        <f>B12</f>
        <v>19</v>
      </c>
      <c r="F29" s="84">
        <f>B11</f>
        <v>8000</v>
      </c>
      <c r="G29" s="185">
        <f>(B29*C29*D29)/(E29*F29)</f>
        <v>0.06811578947368421</v>
      </c>
      <c r="H29" s="45" t="s">
        <v>74</v>
      </c>
    </row>
    <row r="30" spans="1:4" ht="12.75">
      <c r="A30" s="25"/>
      <c r="B30" s="25"/>
      <c r="D30" s="25"/>
    </row>
    <row r="31" ht="15.75">
      <c r="A31" s="39" t="s">
        <v>55</v>
      </c>
    </row>
    <row r="32" spans="2:6" ht="12.75">
      <c r="B32" s="32"/>
      <c r="D32" s="32"/>
      <c r="E32" s="27"/>
      <c r="F32" s="25"/>
    </row>
    <row r="33" spans="1:6" ht="25.5">
      <c r="A33" s="41" t="s">
        <v>68</v>
      </c>
      <c r="B33" s="70" t="s">
        <v>147</v>
      </c>
      <c r="C33" s="70" t="s">
        <v>165</v>
      </c>
      <c r="D33" s="70" t="s">
        <v>163</v>
      </c>
      <c r="E33" s="87"/>
      <c r="F33" s="86"/>
    </row>
    <row r="34" spans="1:6" ht="12.75">
      <c r="A34" s="25"/>
      <c r="B34" s="85" t="s">
        <v>162</v>
      </c>
      <c r="C34" s="49" t="s">
        <v>166</v>
      </c>
      <c r="D34" s="42"/>
      <c r="F34" s="45"/>
    </row>
    <row r="35" spans="2:5" ht="12.75">
      <c r="B35" s="77">
        <f>B20</f>
        <v>100</v>
      </c>
      <c r="C35" s="77">
        <f>1/2000</f>
        <v>0.0005</v>
      </c>
      <c r="D35" s="65">
        <f>B35*C35</f>
        <v>0.05</v>
      </c>
      <c r="E35" s="88" t="s">
        <v>164</v>
      </c>
    </row>
  </sheetData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&amp;LOK MARBLE EMISSION CALCULATIONS.XLS&amp;RPRINTED ON RECYCLED PAPER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1" sqref="A1:G1"/>
    </sheetView>
  </sheetViews>
  <sheetFormatPr defaultColWidth="9.140625" defaultRowHeight="12.75"/>
  <cols>
    <col min="1" max="1" width="18.421875" style="0" customWidth="1"/>
    <col min="2" max="4" width="15.7109375" style="0" customWidth="1"/>
    <col min="5" max="7" width="11.7109375" style="0" customWidth="1"/>
  </cols>
  <sheetData>
    <row r="1" spans="1:7" ht="18">
      <c r="A1" s="188" t="s">
        <v>4</v>
      </c>
      <c r="B1" s="188"/>
      <c r="C1" s="188"/>
      <c r="D1" s="188"/>
      <c r="E1" s="188"/>
      <c r="F1" s="188"/>
      <c r="G1" s="188"/>
    </row>
    <row r="2" spans="1:7" ht="18">
      <c r="A2" s="187" t="s">
        <v>6</v>
      </c>
      <c r="B2" s="187"/>
      <c r="C2" s="187"/>
      <c r="D2" s="187"/>
      <c r="E2" s="187"/>
      <c r="F2" s="187"/>
      <c r="G2" s="187"/>
    </row>
    <row r="3" spans="1:7" ht="18">
      <c r="A3" s="187" t="s">
        <v>7</v>
      </c>
      <c r="B3" s="187"/>
      <c r="C3" s="187"/>
      <c r="D3" s="187"/>
      <c r="E3" s="187"/>
      <c r="F3" s="187"/>
      <c r="G3" s="187"/>
    </row>
    <row r="4" spans="1:9" ht="18">
      <c r="A4" s="189" t="s">
        <v>42</v>
      </c>
      <c r="B4" s="189"/>
      <c r="C4" s="189"/>
      <c r="D4" s="189"/>
      <c r="E4" s="189"/>
      <c r="F4" s="189"/>
      <c r="G4" s="189"/>
      <c r="H4" s="62"/>
      <c r="I4" s="62"/>
    </row>
    <row r="5" spans="1:9" ht="18">
      <c r="A5" s="189"/>
      <c r="B5" s="189"/>
      <c r="C5" s="189"/>
      <c r="D5" s="189"/>
      <c r="E5" s="189"/>
      <c r="F5" s="189"/>
      <c r="G5" s="189"/>
      <c r="H5" s="189"/>
      <c r="I5" s="189"/>
    </row>
    <row r="6" spans="1:5" ht="12.75">
      <c r="A6" s="53"/>
      <c r="B6" s="53"/>
      <c r="C6" s="53"/>
      <c r="D6" s="53"/>
      <c r="E6" s="53"/>
    </row>
    <row r="7" spans="1:5" ht="20.25">
      <c r="A7" s="54" t="s">
        <v>107</v>
      </c>
      <c r="B7" s="53"/>
      <c r="C7" s="53"/>
      <c r="D7" s="53"/>
      <c r="E7" s="53"/>
    </row>
    <row r="8" spans="1:5" ht="18">
      <c r="A8" s="30"/>
      <c r="B8" s="53"/>
      <c r="C8" s="53"/>
      <c r="D8" s="53"/>
      <c r="E8" s="53"/>
    </row>
    <row r="9" spans="1:5" ht="12.75">
      <c r="A9" s="53"/>
      <c r="B9" s="192" t="s">
        <v>183</v>
      </c>
      <c r="C9" s="192"/>
      <c r="D9" s="192"/>
      <c r="E9" s="192"/>
    </row>
    <row r="10" spans="1:5" ht="12.75">
      <c r="A10" s="53"/>
      <c r="B10" s="191" t="s">
        <v>108</v>
      </c>
      <c r="C10" s="191"/>
      <c r="D10" s="191"/>
      <c r="E10" s="191"/>
    </row>
    <row r="11" spans="1:5" ht="12.75">
      <c r="A11" s="56" t="s">
        <v>109</v>
      </c>
      <c r="B11" s="55" t="s">
        <v>84</v>
      </c>
      <c r="C11" s="55" t="s">
        <v>110</v>
      </c>
      <c r="D11" s="55"/>
      <c r="E11" s="55"/>
    </row>
    <row r="12" spans="1:5" ht="12.75">
      <c r="A12" s="53"/>
      <c r="B12" s="57"/>
      <c r="C12" s="57"/>
      <c r="D12" s="57"/>
      <c r="E12" s="57"/>
    </row>
    <row r="13" spans="1:5" ht="12.75">
      <c r="A13" s="53" t="s">
        <v>187</v>
      </c>
      <c r="B13" s="57">
        <f>'GELCOAT SPRAY'!E54</f>
        <v>18.83448</v>
      </c>
      <c r="C13" s="57">
        <f>'GELCOAT SPRAY'!E76</f>
        <v>2.35431</v>
      </c>
      <c r="D13" s="57"/>
      <c r="E13" s="57"/>
    </row>
    <row r="14" spans="1:5" ht="12.75">
      <c r="A14" s="53"/>
      <c r="B14" s="57"/>
      <c r="C14" s="57"/>
      <c r="D14" s="57"/>
      <c r="E14" s="57"/>
    </row>
    <row r="15" spans="1:5" ht="12.75">
      <c r="A15" s="53" t="s">
        <v>184</v>
      </c>
      <c r="B15" s="57">
        <f>'MARBLE CASTING'!E23</f>
        <v>5.76</v>
      </c>
      <c r="C15" s="57">
        <f>'MARBLE CASTING'!E30</f>
        <v>7.199999999999999</v>
      </c>
      <c r="D15" s="57"/>
      <c r="E15" s="57"/>
    </row>
    <row r="16" spans="1:5" ht="12.75">
      <c r="A16" s="53"/>
      <c r="B16" s="57"/>
      <c r="C16" s="57"/>
      <c r="D16" s="57"/>
      <c r="E16" s="57"/>
    </row>
    <row r="17" spans="1:5" ht="14.25">
      <c r="A17" s="53" t="s">
        <v>186</v>
      </c>
      <c r="B17" s="57">
        <v>0</v>
      </c>
      <c r="C17" s="57">
        <f>'CLEANUP EMISSIONS '!E42</f>
        <v>0.3074999999999999</v>
      </c>
      <c r="D17" s="57"/>
      <c r="E17" s="57"/>
    </row>
    <row r="18" spans="1:5" ht="12.75">
      <c r="A18" s="53"/>
      <c r="B18" s="57"/>
      <c r="C18" s="57"/>
      <c r="D18" s="57"/>
      <c r="E18" s="57"/>
    </row>
    <row r="19" spans="1:5" ht="12.75">
      <c r="A19" s="53" t="s">
        <v>185</v>
      </c>
      <c r="B19" s="57">
        <f>'STORAGE TANK EMISSIONS'!G29</f>
        <v>0.06811578947368421</v>
      </c>
      <c r="C19" s="57">
        <f>'STORAGE TANK EMISSIONS'!D35</f>
        <v>0.05</v>
      </c>
      <c r="D19" s="57"/>
      <c r="E19" s="57"/>
    </row>
    <row r="20" spans="1:5" ht="12.75">
      <c r="A20" s="53"/>
      <c r="B20" s="57"/>
      <c r="C20" s="57"/>
      <c r="D20" s="57"/>
      <c r="E20" s="57"/>
    </row>
    <row r="21" spans="1:5" ht="12.75">
      <c r="A21" s="58" t="s">
        <v>111</v>
      </c>
      <c r="B21" s="59">
        <f>SUM(B12:B20)</f>
        <v>24.66259578947368</v>
      </c>
      <c r="C21" s="59">
        <f>SUM(C12:C20)</f>
        <v>9.91181</v>
      </c>
      <c r="D21" s="59"/>
      <c r="E21" s="59"/>
    </row>
    <row r="22" spans="1:5" ht="12.75">
      <c r="A22" s="53"/>
      <c r="B22" s="53"/>
      <c r="C22" s="53"/>
      <c r="D22" s="53"/>
      <c r="E22" s="53"/>
    </row>
    <row r="23" spans="1:5" ht="14.25">
      <c r="A23" s="60" t="s">
        <v>188</v>
      </c>
      <c r="B23" s="53"/>
      <c r="C23" s="53"/>
      <c r="D23" s="53"/>
      <c r="E23" s="53"/>
    </row>
    <row r="24" spans="1:5" ht="12.75">
      <c r="A24" s="53" t="s">
        <v>189</v>
      </c>
      <c r="B24" s="53"/>
      <c r="C24" s="53"/>
      <c r="D24" s="53"/>
      <c r="E24" s="53"/>
    </row>
    <row r="25" spans="1:5" ht="12.75">
      <c r="A25" s="53"/>
      <c r="B25" s="53"/>
      <c r="C25" s="53"/>
      <c r="D25" s="53"/>
      <c r="E25" s="53"/>
    </row>
    <row r="26" spans="1:5" ht="12.75">
      <c r="A26" s="53"/>
      <c r="B26" s="53"/>
      <c r="C26" s="53"/>
      <c r="D26" s="53"/>
      <c r="E26" s="53"/>
    </row>
    <row r="27" spans="1:5" ht="20.25">
      <c r="A27" s="61" t="s">
        <v>112</v>
      </c>
      <c r="B27" s="53"/>
      <c r="C27" s="53"/>
      <c r="D27" s="53"/>
      <c r="E27" s="53"/>
    </row>
    <row r="28" spans="1:5" ht="12.75">
      <c r="A28" s="53"/>
      <c r="B28" s="53"/>
      <c r="C28" s="53"/>
      <c r="D28" s="53"/>
      <c r="E28" s="53"/>
    </row>
    <row r="29" spans="1:5" ht="12.75">
      <c r="A29" s="53"/>
      <c r="B29" s="192" t="s">
        <v>183</v>
      </c>
      <c r="C29" s="192"/>
      <c r="D29" s="192"/>
      <c r="E29" s="192"/>
    </row>
    <row r="30" spans="1:5" ht="12.75">
      <c r="A30" s="53"/>
      <c r="B30" s="191" t="s">
        <v>108</v>
      </c>
      <c r="C30" s="191"/>
      <c r="D30" s="191"/>
      <c r="E30" s="191"/>
    </row>
    <row r="31" spans="1:5" ht="12.75">
      <c r="A31" s="56" t="s">
        <v>113</v>
      </c>
      <c r="B31" s="55" t="s">
        <v>84</v>
      </c>
      <c r="C31" s="55" t="s">
        <v>110</v>
      </c>
      <c r="D31" s="55"/>
      <c r="E31" s="55"/>
    </row>
    <row r="32" spans="1:5" ht="12.75">
      <c r="A32" s="53"/>
      <c r="B32" s="57"/>
      <c r="C32" s="57"/>
      <c r="D32" s="57"/>
      <c r="E32" s="57"/>
    </row>
    <row r="33" spans="1:5" ht="12.75">
      <c r="A33" s="53" t="s">
        <v>182</v>
      </c>
      <c r="B33" s="57">
        <f>'CLEANUP EMISSIONS '!E36</f>
        <v>6.69</v>
      </c>
      <c r="C33" s="57">
        <f>'CLEANUP EMISSIONS '!E46</f>
        <v>0.669</v>
      </c>
      <c r="D33" s="57"/>
      <c r="E33" s="57"/>
    </row>
    <row r="34" spans="1:5" ht="12.75">
      <c r="A34" s="53"/>
      <c r="B34" s="57"/>
      <c r="C34" s="57"/>
      <c r="D34" s="57"/>
      <c r="E34" s="57"/>
    </row>
    <row r="35" spans="1:5" ht="12.75">
      <c r="A35" s="58" t="s">
        <v>111</v>
      </c>
      <c r="B35" s="59">
        <f>SUM(B32:B34)</f>
        <v>6.69</v>
      </c>
      <c r="C35" s="59">
        <f>SUM(C32:C34)</f>
        <v>0.669</v>
      </c>
      <c r="D35" s="59"/>
      <c r="E35" s="59"/>
    </row>
    <row r="38" ht="20.25">
      <c r="A38" s="63" t="s">
        <v>114</v>
      </c>
    </row>
    <row r="40" spans="2:3" ht="12.75">
      <c r="B40" s="190" t="s">
        <v>180</v>
      </c>
      <c r="C40" s="190"/>
    </row>
    <row r="41" spans="2:3" ht="12.75">
      <c r="B41" s="191" t="s">
        <v>108</v>
      </c>
      <c r="C41" s="191"/>
    </row>
    <row r="42" spans="2:3" ht="12.75">
      <c r="B42" s="55" t="s">
        <v>84</v>
      </c>
      <c r="C42" s="55" t="s">
        <v>110</v>
      </c>
    </row>
    <row r="43" spans="2:3" ht="12.75">
      <c r="B43" s="55"/>
      <c r="C43" s="55"/>
    </row>
    <row r="44" spans="1:3" ht="12.75">
      <c r="A44" t="s">
        <v>181</v>
      </c>
      <c r="B44" s="77">
        <f>'TRIM AND GRIND'!E16</f>
        <v>0.10530000000000009</v>
      </c>
      <c r="C44" s="100">
        <f>'TRIM AND GRIND'!E21</f>
        <v>0.05791500000000005</v>
      </c>
    </row>
    <row r="45" spans="2:3" ht="12.75">
      <c r="B45" s="77"/>
      <c r="C45" s="77"/>
    </row>
    <row r="46" spans="2:3" ht="12.75">
      <c r="B46" s="77"/>
      <c r="C46" s="77"/>
    </row>
    <row r="47" spans="2:3" ht="12.75">
      <c r="B47" s="77"/>
      <c r="C47" s="77"/>
    </row>
    <row r="48" spans="2:3" ht="12.75">
      <c r="B48" s="77"/>
      <c r="C48" s="77"/>
    </row>
  </sheetData>
  <mergeCells count="15">
    <mergeCell ref="B40:C40"/>
    <mergeCell ref="B41:C41"/>
    <mergeCell ref="B9:C9"/>
    <mergeCell ref="D9:E9"/>
    <mergeCell ref="B10:C10"/>
    <mergeCell ref="D10:E10"/>
    <mergeCell ref="B29:C29"/>
    <mergeCell ref="D29:E29"/>
    <mergeCell ref="B30:C30"/>
    <mergeCell ref="D30:E30"/>
    <mergeCell ref="A5:I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&amp;LOK MARBLE EMISSION CALCULATIONS&amp;RPRINTED ON RECYCLED PAPER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15.7109375" style="0" customWidth="1"/>
    <col min="2" max="2" width="35.7109375" style="0" customWidth="1"/>
    <col min="3" max="3" width="12.7109375" style="0" customWidth="1"/>
    <col min="4" max="11" width="15.7109375" style="0" customWidth="1"/>
  </cols>
  <sheetData>
    <row r="1" spans="1:11" ht="18">
      <c r="A1" s="188" t="s">
        <v>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8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8">
      <c r="A3" s="187" t="s">
        <v>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8">
      <c r="A4" s="189" t="s">
        <v>179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6" spans="1:2" ht="12.75">
      <c r="A6" s="56" t="s">
        <v>190</v>
      </c>
      <c r="B6" s="96" t="s">
        <v>191</v>
      </c>
    </row>
    <row r="7" spans="1:2" ht="14.25">
      <c r="A7" s="101" t="s">
        <v>192</v>
      </c>
      <c r="B7" s="102" t="s">
        <v>193</v>
      </c>
    </row>
    <row r="8" spans="1:2" ht="12.75">
      <c r="A8" s="53"/>
      <c r="B8" s="53"/>
    </row>
    <row r="9" spans="1:2" ht="12.75">
      <c r="A9" s="103"/>
      <c r="B9" s="53"/>
    </row>
    <row r="10" spans="1:2" ht="12.75">
      <c r="A10" s="143" t="s">
        <v>27</v>
      </c>
      <c r="B10" s="172">
        <v>8.95</v>
      </c>
    </row>
    <row r="11" spans="1:2" ht="12.75">
      <c r="A11" s="143"/>
      <c r="B11" s="172"/>
    </row>
    <row r="12" spans="1:2" ht="12.75">
      <c r="A12" s="143"/>
      <c r="B12" s="172"/>
    </row>
    <row r="13" spans="1:2" ht="25.5">
      <c r="A13" s="143" t="s">
        <v>29</v>
      </c>
      <c r="B13" s="172">
        <v>48.61</v>
      </c>
    </row>
    <row r="14" spans="1:2" ht="12.75">
      <c r="A14" s="143"/>
      <c r="B14" s="104"/>
    </row>
    <row r="15" spans="1:2" ht="12.75">
      <c r="A15" s="103"/>
      <c r="B15" s="104"/>
    </row>
    <row r="16" spans="1:12" ht="13.5" thickBot="1">
      <c r="A16" s="53"/>
      <c r="B16" s="53"/>
      <c r="C16" s="105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3.5" thickTop="1">
      <c r="A17" s="106" t="s">
        <v>194</v>
      </c>
      <c r="B17" s="107" t="s">
        <v>195</v>
      </c>
      <c r="C17" s="107" t="s">
        <v>195</v>
      </c>
      <c r="D17" s="108" t="s">
        <v>215</v>
      </c>
      <c r="E17" s="109"/>
      <c r="F17" s="195" t="s">
        <v>216</v>
      </c>
      <c r="G17" s="196"/>
      <c r="H17" s="130">
        <v>2003</v>
      </c>
      <c r="I17" s="131" t="s">
        <v>111</v>
      </c>
      <c r="J17" s="132" t="s">
        <v>206</v>
      </c>
      <c r="K17" s="152" t="s">
        <v>207</v>
      </c>
      <c r="L17" s="53"/>
    </row>
    <row r="18" spans="1:12" ht="12.75">
      <c r="A18" s="110"/>
      <c r="B18" s="111"/>
      <c r="C18" s="111"/>
      <c r="D18" s="112" t="s">
        <v>183</v>
      </c>
      <c r="E18" s="113"/>
      <c r="F18" s="193" t="s">
        <v>180</v>
      </c>
      <c r="G18" s="194"/>
      <c r="H18" s="133" t="s">
        <v>208</v>
      </c>
      <c r="I18" s="111" t="s">
        <v>209</v>
      </c>
      <c r="J18" s="134" t="s">
        <v>210</v>
      </c>
      <c r="K18" s="153" t="s">
        <v>211</v>
      </c>
      <c r="L18" s="53"/>
    </row>
    <row r="19" spans="1:12" ht="12.75">
      <c r="A19" s="110"/>
      <c r="B19" s="111" t="s">
        <v>196</v>
      </c>
      <c r="C19" s="111" t="s">
        <v>197</v>
      </c>
      <c r="D19" s="114" t="s">
        <v>198</v>
      </c>
      <c r="E19" s="115" t="s">
        <v>215</v>
      </c>
      <c r="F19" s="116" t="s">
        <v>198</v>
      </c>
      <c r="G19" s="115" t="s">
        <v>221</v>
      </c>
      <c r="H19" s="133"/>
      <c r="I19" s="111" t="s">
        <v>199</v>
      </c>
      <c r="J19" s="134" t="s">
        <v>212</v>
      </c>
      <c r="K19" s="153"/>
      <c r="L19" s="53"/>
    </row>
    <row r="20" spans="1:12" ht="12.75">
      <c r="A20" s="110"/>
      <c r="B20" s="111"/>
      <c r="C20" s="111"/>
      <c r="D20" s="114"/>
      <c r="E20" s="115" t="s">
        <v>199</v>
      </c>
      <c r="F20" s="116"/>
      <c r="G20" s="115" t="s">
        <v>199</v>
      </c>
      <c r="H20" s="135"/>
      <c r="I20" s="116"/>
      <c r="J20" s="136"/>
      <c r="K20" s="153" t="s">
        <v>213</v>
      </c>
      <c r="L20" s="53"/>
    </row>
    <row r="21" spans="1:12" ht="13.5" thickBot="1">
      <c r="A21" s="117"/>
      <c r="B21" s="118"/>
      <c r="C21" s="118"/>
      <c r="D21" s="119" t="s">
        <v>200</v>
      </c>
      <c r="E21" s="120" t="s">
        <v>201</v>
      </c>
      <c r="F21" s="121" t="s">
        <v>200</v>
      </c>
      <c r="G21" s="120" t="s">
        <v>201</v>
      </c>
      <c r="H21" s="137" t="s">
        <v>214</v>
      </c>
      <c r="I21" s="121" t="s">
        <v>201</v>
      </c>
      <c r="J21" s="138"/>
      <c r="K21" s="154"/>
      <c r="L21" s="53"/>
    </row>
    <row r="22" spans="1:12" ht="12.75">
      <c r="A22" s="122" t="s">
        <v>229</v>
      </c>
      <c r="B22" s="123" t="s">
        <v>126</v>
      </c>
      <c r="C22" s="123" t="s">
        <v>202</v>
      </c>
      <c r="D22" s="124">
        <f>MAX('GELCOAT SPRAY'!D39:'GELCOAT SPRAY'!D42)+'MARBLE CASTING'!E23+'STORAGE TANK EMISSIONS'!G29</f>
        <v>18.152595789473683</v>
      </c>
      <c r="E22" s="155">
        <f>$B$10*D22</f>
        <v>162.46573231578944</v>
      </c>
      <c r="F22" s="124">
        <v>0</v>
      </c>
      <c r="G22" s="125">
        <f>$B$13*F22</f>
        <v>0</v>
      </c>
      <c r="H22" s="173">
        <v>110</v>
      </c>
      <c r="I22" s="139">
        <f>E22+G22</f>
        <v>162.46573231578944</v>
      </c>
      <c r="J22" s="140">
        <f aca="true" t="shared" si="0" ref="J22:J29">I22/H22</f>
        <v>1.476961202870813</v>
      </c>
      <c r="K22" s="141" t="str">
        <f>IF(I22&lt;H22,"YES","NO")</f>
        <v>NO</v>
      </c>
      <c r="L22" s="53"/>
    </row>
    <row r="23" spans="1:12" ht="12.75">
      <c r="A23" s="126" t="s">
        <v>245</v>
      </c>
      <c r="B23" s="127" t="s">
        <v>217</v>
      </c>
      <c r="C23" s="127" t="s">
        <v>202</v>
      </c>
      <c r="D23" s="124">
        <f>MAX('GELCOAT SPRAY'!D46:'GELCOAT SPRAY'!D49)</f>
        <v>1.11</v>
      </c>
      <c r="E23" s="125">
        <f aca="true" t="shared" si="1" ref="E23:E29">$B$10*D23</f>
        <v>9.9345</v>
      </c>
      <c r="F23" s="124">
        <v>0</v>
      </c>
      <c r="G23" s="125">
        <f aca="true" t="shared" si="2" ref="G23:G29">$B$13*F23</f>
        <v>0</v>
      </c>
      <c r="H23" s="174">
        <v>250</v>
      </c>
      <c r="I23" s="139">
        <f aca="true" t="shared" si="3" ref="I23:I29">E23+G23</f>
        <v>9.9345</v>
      </c>
      <c r="J23" s="142">
        <f t="shared" si="0"/>
        <v>0.039738</v>
      </c>
      <c r="K23" s="141" t="str">
        <f aca="true" t="shared" si="4" ref="K23:K29">IF(I23&lt;H23,"YES","NO")</f>
        <v>YES</v>
      </c>
      <c r="L23" s="53"/>
    </row>
    <row r="24" spans="1:12" ht="12.75">
      <c r="A24" s="126" t="s">
        <v>228</v>
      </c>
      <c r="B24" s="127" t="s">
        <v>218</v>
      </c>
      <c r="C24" s="127" t="s">
        <v>202</v>
      </c>
      <c r="D24" s="124">
        <f>'GELCOAT SPRAY'!D52</f>
        <v>5.3999999999999995</v>
      </c>
      <c r="E24" s="125">
        <f t="shared" si="1"/>
        <v>48.32999999999999</v>
      </c>
      <c r="F24" s="124">
        <v>0</v>
      </c>
      <c r="G24" s="125">
        <f t="shared" si="2"/>
        <v>0</v>
      </c>
      <c r="H24" s="174">
        <v>340</v>
      </c>
      <c r="I24" s="139">
        <f t="shared" si="3"/>
        <v>48.32999999999999</v>
      </c>
      <c r="J24" s="142">
        <f t="shared" si="0"/>
        <v>0.14214705882352938</v>
      </c>
      <c r="K24" s="141" t="str">
        <f t="shared" si="4"/>
        <v>YES</v>
      </c>
      <c r="L24" s="53"/>
    </row>
    <row r="25" spans="1:12" ht="12.75">
      <c r="A25" s="126" t="s">
        <v>203</v>
      </c>
      <c r="B25" s="127" t="s">
        <v>204</v>
      </c>
      <c r="C25" s="127" t="s">
        <v>202</v>
      </c>
      <c r="D25" s="124">
        <f>'CLEANUP EMISSIONS '!E36</f>
        <v>6.69</v>
      </c>
      <c r="E25" s="125">
        <f t="shared" si="1"/>
        <v>59.875499999999995</v>
      </c>
      <c r="F25" s="124">
        <v>0</v>
      </c>
      <c r="G25" s="125">
        <f t="shared" si="2"/>
        <v>0</v>
      </c>
      <c r="H25" s="174">
        <v>5900</v>
      </c>
      <c r="I25" s="139">
        <f t="shared" si="3"/>
        <v>59.875499999999995</v>
      </c>
      <c r="J25" s="142">
        <f t="shared" si="0"/>
        <v>0.010148389830508473</v>
      </c>
      <c r="K25" s="141" t="str">
        <f t="shared" si="4"/>
        <v>YES</v>
      </c>
      <c r="L25" s="53"/>
    </row>
    <row r="26" spans="1:12" ht="12.75">
      <c r="A26" s="126" t="s">
        <v>225</v>
      </c>
      <c r="B26" s="127" t="s">
        <v>222</v>
      </c>
      <c r="C26" s="127" t="s">
        <v>202</v>
      </c>
      <c r="D26" s="124">
        <f>'CLEANUP EMISSIONS '!F52</f>
        <v>1.1971999999999996</v>
      </c>
      <c r="E26" s="125">
        <f t="shared" si="1"/>
        <v>10.714939999999995</v>
      </c>
      <c r="F26" s="124">
        <v>0</v>
      </c>
      <c r="G26" s="125">
        <f t="shared" si="2"/>
        <v>0</v>
      </c>
      <c r="H26" s="174">
        <v>100</v>
      </c>
      <c r="I26" s="139">
        <f t="shared" si="3"/>
        <v>10.714939999999995</v>
      </c>
      <c r="J26" s="142">
        <f t="shared" si="0"/>
        <v>0.10714939999999995</v>
      </c>
      <c r="K26" s="141" t="str">
        <f t="shared" si="4"/>
        <v>YES</v>
      </c>
      <c r="L26" s="53"/>
    </row>
    <row r="27" spans="1:12" ht="12.75">
      <c r="A27" s="126" t="s">
        <v>226</v>
      </c>
      <c r="B27" s="127" t="s">
        <v>223</v>
      </c>
      <c r="C27" s="127" t="s">
        <v>202</v>
      </c>
      <c r="D27" s="124">
        <f>'CLEANUP EMISSIONS '!F53</f>
        <v>0.44279999999999986</v>
      </c>
      <c r="E27" s="125">
        <f t="shared" si="1"/>
        <v>3.9630599999999983</v>
      </c>
      <c r="F27" s="124">
        <v>0</v>
      </c>
      <c r="G27" s="125">
        <f t="shared" si="2"/>
        <v>0</v>
      </c>
      <c r="H27" s="174">
        <v>100</v>
      </c>
      <c r="I27" s="139">
        <f t="shared" si="3"/>
        <v>3.9630599999999983</v>
      </c>
      <c r="J27" s="142">
        <f t="shared" si="0"/>
        <v>0.03963059999999998</v>
      </c>
      <c r="K27" s="141" t="str">
        <f t="shared" si="4"/>
        <v>YES</v>
      </c>
      <c r="L27" s="53"/>
    </row>
    <row r="28" spans="1:12" ht="12.75">
      <c r="A28" s="126" t="s">
        <v>227</v>
      </c>
      <c r="B28" s="128" t="s">
        <v>224</v>
      </c>
      <c r="C28" s="129" t="s">
        <v>202</v>
      </c>
      <c r="D28" s="124">
        <f>'CLEANUP EMISSIONS '!F54</f>
        <v>0.40999999999999986</v>
      </c>
      <c r="E28" s="125">
        <f t="shared" si="1"/>
        <v>3.6694999999999984</v>
      </c>
      <c r="F28" s="124">
        <v>0</v>
      </c>
      <c r="G28" s="125">
        <f t="shared" si="2"/>
        <v>0</v>
      </c>
      <c r="H28" s="174">
        <v>100</v>
      </c>
      <c r="I28" s="139">
        <f t="shared" si="3"/>
        <v>3.6694999999999984</v>
      </c>
      <c r="J28" s="142">
        <f t="shared" si="0"/>
        <v>0.036694999999999985</v>
      </c>
      <c r="K28" s="141" t="str">
        <f t="shared" si="4"/>
        <v>YES</v>
      </c>
      <c r="L28" s="53"/>
    </row>
    <row r="29" spans="1:12" ht="12.75">
      <c r="A29" s="126" t="s">
        <v>219</v>
      </c>
      <c r="B29" s="127" t="s">
        <v>220</v>
      </c>
      <c r="C29" s="127" t="s">
        <v>205</v>
      </c>
      <c r="D29" s="124">
        <v>0</v>
      </c>
      <c r="E29" s="125">
        <f t="shared" si="1"/>
        <v>0</v>
      </c>
      <c r="F29" s="124">
        <f>'TRIM AND GRIND'!E16</f>
        <v>0.10530000000000009</v>
      </c>
      <c r="G29" s="125">
        <f t="shared" si="2"/>
        <v>5.118633000000004</v>
      </c>
      <c r="H29" s="174">
        <v>50</v>
      </c>
      <c r="I29" s="139">
        <f t="shared" si="3"/>
        <v>5.118633000000004</v>
      </c>
      <c r="J29" s="142">
        <f t="shared" si="0"/>
        <v>0.10237266000000009</v>
      </c>
      <c r="K29" s="141" t="str">
        <f t="shared" si="4"/>
        <v>YES</v>
      </c>
      <c r="L29" s="53"/>
    </row>
    <row r="30" spans="1:12" ht="13.5" thickBot="1">
      <c r="A30" s="144"/>
      <c r="B30" s="145"/>
      <c r="C30" s="145"/>
      <c r="D30" s="146"/>
      <c r="E30" s="147"/>
      <c r="F30" s="146"/>
      <c r="G30" s="148"/>
      <c r="H30" s="175"/>
      <c r="I30" s="149"/>
      <c r="J30" s="150"/>
      <c r="K30" s="151"/>
      <c r="L30" s="53"/>
    </row>
    <row r="31" ht="13.5" thickTop="1"/>
  </sheetData>
  <mergeCells count="6">
    <mergeCell ref="F18:G18"/>
    <mergeCell ref="A1:K1"/>
    <mergeCell ref="A2:K2"/>
    <mergeCell ref="A3:K3"/>
    <mergeCell ref="A4:K4"/>
    <mergeCell ref="F17:G17"/>
  </mergeCells>
  <conditionalFormatting sqref="K22:K30">
    <cfRule type="cellIs" priority="1" dxfId="0" operator="equal" stopIfTrue="1">
      <formula>"NO"</formula>
    </cfRule>
  </conditionalFormatting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&amp;LOK MARBLE EMISSION CALCULATIONS.XLS&amp;RPRINTED ON  RECYCLED PAPER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13" width="12.7109375" style="0" customWidth="1"/>
  </cols>
  <sheetData>
    <row r="1" spans="1:14" ht="18">
      <c r="A1" s="1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">
      <c r="A2" s="2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8">
      <c r="A3" s="2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8">
      <c r="A4" s="2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8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8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10" spans="1:13" ht="36">
      <c r="A10" s="8" t="s">
        <v>10</v>
      </c>
      <c r="B10" s="9" t="s">
        <v>11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7" ht="12.75">
      <c r="A11" s="8" t="s">
        <v>12</v>
      </c>
      <c r="B11" s="10">
        <v>100</v>
      </c>
      <c r="C11" s="10"/>
      <c r="D11" s="8" t="s">
        <v>13</v>
      </c>
      <c r="E11" s="8"/>
      <c r="F11" s="8"/>
      <c r="G11" s="8"/>
    </row>
    <row r="12" spans="1:7" ht="12.75">
      <c r="A12" s="8" t="s">
        <v>14</v>
      </c>
      <c r="B12" s="10">
        <v>200</v>
      </c>
      <c r="C12" s="10"/>
      <c r="D12" s="8" t="s">
        <v>15</v>
      </c>
      <c r="E12" s="8"/>
      <c r="F12" s="8"/>
      <c r="G12" s="8"/>
    </row>
    <row r="13" spans="1:7" ht="12.75">
      <c r="A13" s="8" t="s">
        <v>16</v>
      </c>
      <c r="B13" s="10" t="s">
        <v>17</v>
      </c>
      <c r="C13" s="10"/>
      <c r="D13" s="8" t="s">
        <v>18</v>
      </c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3.5" thickBot="1">
      <c r="A15" s="8"/>
      <c r="B15" s="8"/>
      <c r="C15" s="8"/>
      <c r="D15" s="8"/>
      <c r="E15" s="8"/>
      <c r="F15" s="8"/>
      <c r="G15" s="8"/>
    </row>
    <row r="16" spans="1:13" ht="61.5" thickBot="1" thickTop="1">
      <c r="A16" s="11" t="s">
        <v>19</v>
      </c>
      <c r="B16" s="12" t="s">
        <v>20</v>
      </c>
      <c r="C16" s="12" t="s">
        <v>30</v>
      </c>
      <c r="D16" s="12" t="s">
        <v>31</v>
      </c>
      <c r="E16" s="12" t="s">
        <v>32</v>
      </c>
      <c r="F16" s="12" t="s">
        <v>33</v>
      </c>
      <c r="G16" s="12" t="s">
        <v>21</v>
      </c>
      <c r="H16" s="12" t="s">
        <v>22</v>
      </c>
      <c r="I16" s="12" t="s">
        <v>23</v>
      </c>
      <c r="J16" s="12" t="s">
        <v>246</v>
      </c>
      <c r="K16" s="12" t="s">
        <v>24</v>
      </c>
      <c r="L16" s="12" t="s">
        <v>25</v>
      </c>
      <c r="M16" s="13" t="s">
        <v>26</v>
      </c>
    </row>
    <row r="17" spans="1:13" ht="12.75">
      <c r="A17" s="14"/>
      <c r="B17" s="176"/>
      <c r="C17" s="177"/>
      <c r="D17" s="177"/>
      <c r="E17" s="177"/>
      <c r="F17" s="15"/>
      <c r="G17" s="177"/>
      <c r="H17" s="15"/>
      <c r="I17" s="15"/>
      <c r="J17" s="177"/>
      <c r="K17" s="177"/>
      <c r="L17" s="15"/>
      <c r="M17" s="16"/>
    </row>
    <row r="18" spans="1:13" ht="12.75">
      <c r="A18" s="14" t="s">
        <v>27</v>
      </c>
      <c r="B18" s="178">
        <v>11000</v>
      </c>
      <c r="C18" s="179">
        <v>1</v>
      </c>
      <c r="D18" s="179">
        <v>7</v>
      </c>
      <c r="E18" s="179">
        <v>12</v>
      </c>
      <c r="F18" s="17">
        <f>C18*D18*E18</f>
        <v>84</v>
      </c>
      <c r="G18" s="179">
        <v>0</v>
      </c>
      <c r="H18" s="17">
        <f>F18+G18</f>
        <v>84</v>
      </c>
      <c r="I18" s="18">
        <f>B18/H18</f>
        <v>130.95238095238096</v>
      </c>
      <c r="J18" s="179" t="s">
        <v>28</v>
      </c>
      <c r="K18" s="179" t="s">
        <v>28</v>
      </c>
      <c r="L18" s="18">
        <f>IF(K18="NO",100,200)</f>
        <v>100</v>
      </c>
      <c r="M18" s="19" t="str">
        <f>IF(I18&gt;L18,"YES","NO")</f>
        <v>YES</v>
      </c>
    </row>
    <row r="19" spans="1:13" ht="12.75">
      <c r="A19" s="14" t="s">
        <v>29</v>
      </c>
      <c r="B19" s="180">
        <v>10000</v>
      </c>
      <c r="C19" s="181">
        <v>1</v>
      </c>
      <c r="D19" s="181">
        <v>7</v>
      </c>
      <c r="E19" s="181">
        <v>12</v>
      </c>
      <c r="F19" s="17">
        <f>C19*D19*E19</f>
        <v>84</v>
      </c>
      <c r="G19" s="181">
        <v>0</v>
      </c>
      <c r="H19" s="17">
        <f>F19+G19</f>
        <v>84</v>
      </c>
      <c r="I19" s="18">
        <f>B19/H19</f>
        <v>119.04761904761905</v>
      </c>
      <c r="J19" s="184" t="s">
        <v>28</v>
      </c>
      <c r="K19" s="184" t="s">
        <v>28</v>
      </c>
      <c r="L19" s="18">
        <f>IF(K19="NO",100,200)</f>
        <v>100</v>
      </c>
      <c r="M19" s="19" t="str">
        <f>IF(I19&gt;L19,"YES","NO")</f>
        <v>YES</v>
      </c>
    </row>
    <row r="20" spans="1:13" ht="12.75">
      <c r="A20" s="14"/>
      <c r="B20" s="180"/>
      <c r="C20" s="181"/>
      <c r="D20" s="181"/>
      <c r="E20" s="181"/>
      <c r="F20" s="17"/>
      <c r="G20" s="181"/>
      <c r="H20" s="17"/>
      <c r="I20" s="18"/>
      <c r="J20" s="184"/>
      <c r="K20" s="184"/>
      <c r="L20" s="18"/>
      <c r="M20" s="19"/>
    </row>
    <row r="21" spans="1:13" ht="12.75">
      <c r="A21" s="14" t="s">
        <v>247</v>
      </c>
      <c r="B21" s="180">
        <f>B18+B19</f>
        <v>21000</v>
      </c>
      <c r="C21" s="181">
        <v>2</v>
      </c>
      <c r="D21" s="181">
        <v>10</v>
      </c>
      <c r="E21" s="181">
        <v>10</v>
      </c>
      <c r="F21" s="17">
        <f>C21*D21*E21</f>
        <v>200</v>
      </c>
      <c r="G21" s="181">
        <v>0</v>
      </c>
      <c r="H21" s="17">
        <f>F21+G21</f>
        <v>200</v>
      </c>
      <c r="I21" s="18">
        <f>B21/H21</f>
        <v>105</v>
      </c>
      <c r="J21" s="184" t="s">
        <v>28</v>
      </c>
      <c r="K21" s="184" t="s">
        <v>28</v>
      </c>
      <c r="L21" s="18">
        <v>100</v>
      </c>
      <c r="M21" s="19" t="str">
        <f>IF(I21&gt;L21,"YES","NO")</f>
        <v>YES</v>
      </c>
    </row>
    <row r="22" spans="1:13" ht="13.5" thickBot="1">
      <c r="A22" s="20"/>
      <c r="B22" s="182"/>
      <c r="C22" s="183"/>
      <c r="D22" s="183"/>
      <c r="E22" s="183"/>
      <c r="F22" s="21"/>
      <c r="G22" s="183"/>
      <c r="H22" s="21"/>
      <c r="I22" s="21"/>
      <c r="J22" s="183"/>
      <c r="K22" s="183"/>
      <c r="L22" s="21"/>
      <c r="M22" s="22"/>
    </row>
    <row r="23" ht="13.5" thickTop="1"/>
    <row r="25" ht="16.5">
      <c r="A25" s="23"/>
    </row>
  </sheetData>
  <printOptions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&amp;LOK MARBLE EMISSION CALCULATIONS.XLS&amp;RPRINTED ON RECYCLED PAPER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