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P:\DSS\APD\Forms-Tables-Checklist-Guidance\Field Creation Folder\Traci Spencer\1 Working\2023\Dec\Project 2941\"/>
    </mc:Choice>
  </mc:AlternateContent>
  <xr:revisionPtr revIDLastSave="0" documentId="13_ncr:1_{E43596D1-330D-4F4F-8018-43611FCCB1BD}" xr6:coauthVersionLast="47" xr6:coauthVersionMax="47" xr10:uidLastSave="{00000000-0000-0000-0000-000000000000}"/>
  <workbookProtection workbookAlgorithmName="SHA-512" workbookHashValue="JBaZ5t6xOzyCMu4YJYkz3WRy79T2JBLUes7YwE/LLgiV8Zpr5/wK8dInPZ/T9t5+oAXT6Hc7ev6NLRa/+yQlbA==" workbookSaltValue="Aul41lFthZ//6U1xeT0drA==" workbookSpinCount="100000" lockStructure="1"/>
  <bookViews>
    <workbookView xWindow="-120" yWindow="-120" windowWidth="29040" windowHeight="15840" tabRatio="874" xr2:uid="{C40E7034-7375-4504-98F6-5CA47C0F2613}"/>
  </bookViews>
  <sheets>
    <sheet name="Instructions" sheetId="13" r:id="rId1"/>
    <sheet name="PI-1-PowerEngine" sheetId="21" r:id="rId2"/>
    <sheet name="Fees" sheetId="60" r:id="rId3"/>
    <sheet name="ENGINE1" sheetId="3" r:id="rId4"/>
    <sheet name="ENGINE2" sheetId="33" r:id="rId5"/>
    <sheet name="ENGINE3" sheetId="34" r:id="rId6"/>
    <sheet name="ENGINE4" sheetId="35" r:id="rId7"/>
    <sheet name="ENGINE5" sheetId="36" r:id="rId8"/>
    <sheet name="ENGINE6" sheetId="50" r:id="rId9"/>
    <sheet name="ENGINE7" sheetId="49" r:id="rId10"/>
    <sheet name="ENGINE8" sheetId="48" r:id="rId11"/>
    <sheet name="ENGINE9" sheetId="47" r:id="rId12"/>
    <sheet name="ENGINE10" sheetId="46" r:id="rId13"/>
    <sheet name="ENGINE Summary" sheetId="63" r:id="rId14"/>
    <sheet name="Tanks" sheetId="16" r:id="rId15"/>
    <sheet name="Public Notice" sheetId="24" r:id="rId16"/>
    <sheet name="Baseline" sheetId="53" r:id="rId17"/>
    <sheet name="Federal Applicability" sheetId="31" r:id="rId18"/>
    <sheet name="BACT" sheetId="11" r:id="rId19"/>
    <sheet name="AQA" sheetId="29" r:id="rId20"/>
    <sheet name="Tox" sheetId="54" r:id="rId21"/>
    <sheet name="CND" sheetId="30" r:id="rId22"/>
    <sheet name="Project Summary" sheetId="62" r:id="rId23"/>
    <sheet name="Reference" sheetId="17" state="veryHidden" r:id="rId24"/>
    <sheet name="ProcessFlow" sheetId="32" state="veryHidden" r:id="rId25"/>
    <sheet name="Current PTE" sheetId="58" state="veryHidden" r:id="rId26"/>
  </sheets>
  <definedNames>
    <definedName name="_xlnm._FilterDatabase" localSheetId="17" hidden="1">'Federal Applicability'!$N$2:$AA$10</definedName>
    <definedName name="_xlnm._FilterDatabase" localSheetId="15" hidden="1">'Public Notice'!$A$61:$D$77</definedName>
    <definedName name="_xlnm._FilterDatabase" localSheetId="23" hidden="1">Reference!$A$13:$D$267</definedName>
    <definedName name="Counties">Reference!$A$14:$A$267</definedName>
    <definedName name="CountyName">Reference!$A$14:$A$267</definedName>
    <definedName name="EngDDSource">Reference!$AP$14:$AP$17</definedName>
    <definedName name="ENGINE_Summary">'ENGINE Summary'!$A$1</definedName>
    <definedName name="Sheet_AQA">AQA!$A$1</definedName>
    <definedName name="Sheet_BACT">BACT!$A$1</definedName>
    <definedName name="Sheet_Base">Baseline!$A$1</definedName>
    <definedName name="Sheet_CND">CND!$A$1</definedName>
    <definedName name="Sheet_CurrentPTE">'Current PTE'!$A$1</definedName>
    <definedName name="Sheet_EmisSum">'Current PTE'!$A$1</definedName>
    <definedName name="Sheet_Eng1">ENGINE1!$A$1</definedName>
    <definedName name="Sheet_Eng10">ENGINE10!$A$1</definedName>
    <definedName name="Sheet_Eng2">ENGINE2!$A$1</definedName>
    <definedName name="Sheet_Eng3">ENGINE3!$A$1</definedName>
    <definedName name="Sheet_Eng4">ENGINE4!$A$1</definedName>
    <definedName name="Sheet_Eng5">ENGINE5!$A$1</definedName>
    <definedName name="Sheet_Eng6">ENGINE6!$A$1</definedName>
    <definedName name="Sheet_Eng7">ENGINE7!$A$1</definedName>
    <definedName name="Sheet_Eng8">ENGINE8!$A$1</definedName>
    <definedName name="Sheet_Eng9">ENGINE9!$A$1</definedName>
    <definedName name="Sheet_FedApp">'Federal Applicability'!$A$1</definedName>
    <definedName name="Sheet_Fees">Fees!$A$1</definedName>
    <definedName name="Sheet_Ins">Instructions!$A$1</definedName>
    <definedName name="Sheet_PI1">'PI-1-PowerEngine'!$A$1</definedName>
    <definedName name="Sheet_PN">'Public Notice'!$A$1</definedName>
    <definedName name="Sheet_ProcessFlow">ProcessFlow!$A$1</definedName>
    <definedName name="Sheet_Project_Summary">'Project Summary'!$A$1</definedName>
    <definedName name="Sheet_Tanks">Tanks!$A$1</definedName>
    <definedName name="Sheet_Tox">Tox!$A$1</definedName>
    <definedName name="TodaysDate">Reference!$E$67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46" l="1"/>
  <c r="B50" i="46" s="1"/>
  <c r="D50" i="46" s="1"/>
  <c r="B48" i="46"/>
  <c r="D48" i="46" s="1"/>
  <c r="B47" i="46"/>
  <c r="D47" i="46" s="1"/>
  <c r="B46" i="46"/>
  <c r="D46" i="46" s="1"/>
  <c r="B45" i="46"/>
  <c r="D45" i="46" s="1"/>
  <c r="B44" i="46"/>
  <c r="D44" i="46" s="1"/>
  <c r="B43" i="46"/>
  <c r="D43" i="46" s="1"/>
  <c r="B49" i="47"/>
  <c r="B50" i="47" s="1"/>
  <c r="D50" i="47" s="1"/>
  <c r="B48" i="47"/>
  <c r="D48" i="47" s="1"/>
  <c r="B47" i="47"/>
  <c r="D47" i="47" s="1"/>
  <c r="B46" i="47"/>
  <c r="D46" i="47" s="1"/>
  <c r="B45" i="47"/>
  <c r="D45" i="47" s="1"/>
  <c r="B44" i="47"/>
  <c r="D44" i="47" s="1"/>
  <c r="B43" i="47"/>
  <c r="D43" i="47" s="1"/>
  <c r="B49" i="48"/>
  <c r="B50" i="48" s="1"/>
  <c r="D50" i="48" s="1"/>
  <c r="B48" i="48"/>
  <c r="D48" i="48" s="1"/>
  <c r="B47" i="48"/>
  <c r="D47" i="48" s="1"/>
  <c r="B46" i="48"/>
  <c r="D46" i="48" s="1"/>
  <c r="B45" i="48"/>
  <c r="D45" i="48" s="1"/>
  <c r="B44" i="48"/>
  <c r="D44" i="48" s="1"/>
  <c r="B43" i="48"/>
  <c r="D43" i="48" s="1"/>
  <c r="B49" i="49"/>
  <c r="B50" i="49" s="1"/>
  <c r="D50" i="49" s="1"/>
  <c r="B48" i="49"/>
  <c r="D48" i="49" s="1"/>
  <c r="B47" i="49"/>
  <c r="D47" i="49" s="1"/>
  <c r="B46" i="49"/>
  <c r="D46" i="49" s="1"/>
  <c r="B45" i="49"/>
  <c r="D45" i="49" s="1"/>
  <c r="B44" i="49"/>
  <c r="D44" i="49" s="1"/>
  <c r="B43" i="49"/>
  <c r="D43" i="49" s="1"/>
  <c r="B49" i="50"/>
  <c r="B50" i="50" s="1"/>
  <c r="D50" i="50" s="1"/>
  <c r="B48" i="50"/>
  <c r="D48" i="50" s="1"/>
  <c r="B47" i="50"/>
  <c r="D47" i="50" s="1"/>
  <c r="B46" i="50"/>
  <c r="D46" i="50" s="1"/>
  <c r="B45" i="50"/>
  <c r="D45" i="50" s="1"/>
  <c r="B44" i="50"/>
  <c r="D44" i="50" s="1"/>
  <c r="B43" i="50"/>
  <c r="D43" i="50" s="1"/>
  <c r="B49" i="36"/>
  <c r="B50" i="36" s="1"/>
  <c r="D50" i="36" s="1"/>
  <c r="B48" i="36"/>
  <c r="D48" i="36" s="1"/>
  <c r="B47" i="36"/>
  <c r="D47" i="36" s="1"/>
  <c r="B46" i="36"/>
  <c r="D46" i="36" s="1"/>
  <c r="B45" i="36"/>
  <c r="D45" i="36" s="1"/>
  <c r="B44" i="36"/>
  <c r="D44" i="36" s="1"/>
  <c r="B43" i="36"/>
  <c r="D43" i="36" s="1"/>
  <c r="B49" i="35"/>
  <c r="B50" i="35" s="1"/>
  <c r="D50" i="35" s="1"/>
  <c r="B48" i="35"/>
  <c r="D48" i="35" s="1"/>
  <c r="B47" i="35"/>
  <c r="D47" i="35" s="1"/>
  <c r="B46" i="35"/>
  <c r="D46" i="35" s="1"/>
  <c r="B45" i="35"/>
  <c r="D45" i="35" s="1"/>
  <c r="B44" i="35"/>
  <c r="D44" i="35" s="1"/>
  <c r="B43" i="35"/>
  <c r="D43" i="35" s="1"/>
  <c r="B49" i="34"/>
  <c r="B50" i="34" s="1"/>
  <c r="D50" i="34" s="1"/>
  <c r="B48" i="34"/>
  <c r="D48" i="34" s="1"/>
  <c r="B47" i="34"/>
  <c r="D47" i="34" s="1"/>
  <c r="B46" i="34"/>
  <c r="D46" i="34" s="1"/>
  <c r="B45" i="34"/>
  <c r="D45" i="34" s="1"/>
  <c r="B44" i="34"/>
  <c r="D44" i="34" s="1"/>
  <c r="B43" i="34"/>
  <c r="D43" i="34" s="1"/>
  <c r="B49" i="33"/>
  <c r="B50" i="33" s="1"/>
  <c r="D50" i="33" s="1"/>
  <c r="B48" i="33"/>
  <c r="D48" i="33" s="1"/>
  <c r="B47" i="33"/>
  <c r="D47" i="33" s="1"/>
  <c r="B46" i="33"/>
  <c r="D46" i="33" s="1"/>
  <c r="B45" i="33"/>
  <c r="D45" i="33" s="1"/>
  <c r="B44" i="33"/>
  <c r="D44" i="33" s="1"/>
  <c r="B43" i="33"/>
  <c r="D43" i="33" s="1"/>
  <c r="D49" i="46" l="1"/>
  <c r="D49" i="47"/>
  <c r="D49" i="48"/>
  <c r="D49" i="49"/>
  <c r="D49" i="50"/>
  <c r="D49" i="36"/>
  <c r="D49" i="35"/>
  <c r="D49" i="34"/>
  <c r="D49" i="33"/>
  <c r="A4" i="13"/>
  <c r="G9" i="62" l="1"/>
  <c r="D8" i="24" l="1"/>
  <c r="B168" i="16" l="1"/>
  <c r="B167" i="16"/>
  <c r="B166" i="16"/>
  <c r="A48" i="30" l="1"/>
  <c r="A172" i="16"/>
  <c r="A53" i="60"/>
  <c r="B164" i="16"/>
  <c r="B15" i="16" s="1"/>
  <c r="F125" i="21" l="1"/>
  <c r="F124" i="21"/>
  <c r="C15" i="58" l="1"/>
  <c r="D15" i="58"/>
  <c r="E15" i="58"/>
  <c r="F15" i="58"/>
  <c r="G15" i="58"/>
  <c r="H15" i="58"/>
  <c r="I15" i="58"/>
  <c r="J15" i="58"/>
  <c r="K15" i="58"/>
  <c r="C15" i="63" l="1"/>
  <c r="C16" i="63"/>
  <c r="C17" i="63"/>
  <c r="C18" i="63"/>
  <c r="C19" i="63"/>
  <c r="C20" i="63"/>
  <c r="C21" i="63"/>
  <c r="B26" i="46"/>
  <c r="B51" i="46" s="1"/>
  <c r="D51" i="46" s="1"/>
  <c r="B26" i="49"/>
  <c r="B51" i="49" s="1"/>
  <c r="D51" i="49" s="1"/>
  <c r="B162" i="16" l="1"/>
  <c r="B12" i="16" s="1"/>
  <c r="B49" i="31"/>
  <c r="B47" i="31"/>
  <c r="B45" i="31"/>
  <c r="B43" i="31"/>
  <c r="B48" i="31"/>
  <c r="B46" i="31"/>
  <c r="B44" i="31"/>
  <c r="B42" i="31"/>
  <c r="F24" i="17" l="1"/>
  <c r="F23" i="17"/>
  <c r="F22" i="17"/>
  <c r="F21" i="17"/>
  <c r="F20" i="17"/>
  <c r="F19" i="17"/>
  <c r="F18" i="17"/>
  <c r="F17" i="17"/>
  <c r="G131" i="21"/>
  <c r="B69" i="24"/>
  <c r="B51" i="60"/>
  <c r="F16" i="17"/>
  <c r="F15" i="17"/>
  <c r="E67" i="17"/>
  <c r="H76" i="24"/>
  <c r="H75" i="24"/>
  <c r="A7" i="53" l="1"/>
  <c r="AA17" i="17"/>
  <c r="AB17" i="17" s="1"/>
  <c r="AC17" i="17" s="1"/>
  <c r="AD17" i="17" s="1"/>
  <c r="AE17" i="17" s="1"/>
  <c r="AF17" i="17" s="1"/>
  <c r="AG17" i="17" s="1"/>
  <c r="AH17" i="17" s="1"/>
  <c r="AI17" i="17" s="1"/>
  <c r="AJ17" i="17" s="1"/>
  <c r="AK17" i="17" s="1"/>
  <c r="AL17" i="17" s="1"/>
  <c r="AM17" i="17" s="1"/>
  <c r="AN17" i="17" s="1"/>
  <c r="AA18" i="17"/>
  <c r="AB18" i="17" s="1"/>
  <c r="AC18" i="17" s="1"/>
  <c r="AD18" i="17" s="1"/>
  <c r="AE18" i="17" s="1"/>
  <c r="AF18" i="17" s="1"/>
  <c r="AG18" i="17" s="1"/>
  <c r="AH18" i="17" s="1"/>
  <c r="AI18" i="17" s="1"/>
  <c r="AJ18" i="17" s="1"/>
  <c r="AK18" i="17" s="1"/>
  <c r="AL18" i="17" s="1"/>
  <c r="AM18" i="17" s="1"/>
  <c r="AN18" i="17" s="1"/>
  <c r="D15" i="63"/>
  <c r="AA26" i="17"/>
  <c r="AB26" i="17" s="1"/>
  <c r="AC26" i="17" s="1"/>
  <c r="AD26" i="17" s="1"/>
  <c r="AE26" i="17" s="1"/>
  <c r="AF26" i="17" s="1"/>
  <c r="AG26" i="17" s="1"/>
  <c r="AH26" i="17" s="1"/>
  <c r="AI26" i="17" s="1"/>
  <c r="AJ26" i="17" s="1"/>
  <c r="AK26" i="17" s="1"/>
  <c r="AL26" i="17" s="1"/>
  <c r="AM26" i="17" s="1"/>
  <c r="AN26" i="17" s="1"/>
  <c r="AA25" i="17"/>
  <c r="AB25" i="17" s="1"/>
  <c r="AC25" i="17" s="1"/>
  <c r="AD25" i="17" s="1"/>
  <c r="AE25" i="17" s="1"/>
  <c r="AF25" i="17" s="1"/>
  <c r="AG25" i="17" s="1"/>
  <c r="AH25" i="17" s="1"/>
  <c r="AI25" i="17" s="1"/>
  <c r="AJ25" i="17" s="1"/>
  <c r="AK25" i="17" s="1"/>
  <c r="AL25" i="17" s="1"/>
  <c r="AM25" i="17" s="1"/>
  <c r="AN25" i="17" s="1"/>
  <c r="AA24" i="17"/>
  <c r="AB24" i="17" s="1"/>
  <c r="AC24" i="17" s="1"/>
  <c r="AD24" i="17" s="1"/>
  <c r="AE24" i="17" s="1"/>
  <c r="AF24" i="17" s="1"/>
  <c r="AG24" i="17" s="1"/>
  <c r="AH24" i="17" s="1"/>
  <c r="AI24" i="17" s="1"/>
  <c r="AJ24" i="17" s="1"/>
  <c r="AK24" i="17" s="1"/>
  <c r="AL24" i="17" s="1"/>
  <c r="AM24" i="17" s="1"/>
  <c r="AN24" i="17" s="1"/>
  <c r="AA23" i="17"/>
  <c r="AB23" i="17" s="1"/>
  <c r="AC23" i="17" s="1"/>
  <c r="AD23" i="17" s="1"/>
  <c r="AE23" i="17" s="1"/>
  <c r="AF23" i="17" s="1"/>
  <c r="AG23" i="17" s="1"/>
  <c r="AH23" i="17" s="1"/>
  <c r="AI23" i="17" s="1"/>
  <c r="AJ23" i="17" s="1"/>
  <c r="AK23" i="17" s="1"/>
  <c r="AL23" i="17" s="1"/>
  <c r="AM23" i="17" s="1"/>
  <c r="AN23" i="17" s="1"/>
  <c r="AA22" i="17"/>
  <c r="AB22" i="17" s="1"/>
  <c r="AC22" i="17" s="1"/>
  <c r="AD22" i="17" s="1"/>
  <c r="AE22" i="17" s="1"/>
  <c r="AF22" i="17" s="1"/>
  <c r="AG22" i="17" s="1"/>
  <c r="AH22" i="17" s="1"/>
  <c r="AI22" i="17" s="1"/>
  <c r="AJ22" i="17" s="1"/>
  <c r="AK22" i="17" s="1"/>
  <c r="AL22" i="17" s="1"/>
  <c r="AM22" i="17" s="1"/>
  <c r="AN22" i="17" s="1"/>
  <c r="AA21" i="17"/>
  <c r="AB21" i="17" s="1"/>
  <c r="AC21" i="17" s="1"/>
  <c r="AD21" i="17" s="1"/>
  <c r="AE21" i="17" s="1"/>
  <c r="AF21" i="17" s="1"/>
  <c r="AG21" i="17" s="1"/>
  <c r="AH21" i="17" s="1"/>
  <c r="AI21" i="17" s="1"/>
  <c r="AJ21" i="17" s="1"/>
  <c r="AK21" i="17" s="1"/>
  <c r="AL21" i="17" s="1"/>
  <c r="AM21" i="17" s="1"/>
  <c r="AN21" i="17" s="1"/>
  <c r="AA20" i="17"/>
  <c r="AB20" i="17" s="1"/>
  <c r="AC20" i="17" s="1"/>
  <c r="AD20" i="17" s="1"/>
  <c r="AE20" i="17" s="1"/>
  <c r="AF20" i="17" s="1"/>
  <c r="AG20" i="17" s="1"/>
  <c r="AH20" i="17" s="1"/>
  <c r="AI20" i="17" s="1"/>
  <c r="AJ20" i="17" s="1"/>
  <c r="AK20" i="17" s="1"/>
  <c r="AL20" i="17" s="1"/>
  <c r="AM20" i="17" s="1"/>
  <c r="AN20" i="17" s="1"/>
  <c r="AA19" i="17"/>
  <c r="AB19" i="17" s="1"/>
  <c r="AC19" i="17" s="1"/>
  <c r="AD19" i="17" s="1"/>
  <c r="AE19" i="17" s="1"/>
  <c r="AF19" i="17" s="1"/>
  <c r="AG19" i="17" s="1"/>
  <c r="AH19" i="17" s="1"/>
  <c r="AI19" i="17" s="1"/>
  <c r="AJ19" i="17" s="1"/>
  <c r="AK19" i="17" s="1"/>
  <c r="AL19" i="17" s="1"/>
  <c r="AM19" i="17" s="1"/>
  <c r="AN19" i="17" s="1"/>
  <c r="AA29" i="17"/>
  <c r="E64" i="17"/>
  <c r="B22" i="31"/>
  <c r="I17" i="31"/>
  <c r="L52" i="31" s="1"/>
  <c r="G39" i="17"/>
  <c r="A15" i="16" s="1"/>
  <c r="G38" i="17"/>
  <c r="B11" i="16"/>
  <c r="A16" i="58"/>
  <c r="B11" i="63"/>
  <c r="C22" i="63"/>
  <c r="C23" i="63"/>
  <c r="A21" i="53"/>
  <c r="N17" i="63" l="1"/>
  <c r="N16" i="63"/>
  <c r="N23" i="63"/>
  <c r="N22" i="63"/>
  <c r="N19" i="63"/>
  <c r="N18" i="63"/>
  <c r="F38" i="17"/>
  <c r="A4" i="63" s="1"/>
  <c r="A16" i="16"/>
  <c r="F39" i="17"/>
  <c r="A4" i="16" s="1"/>
  <c r="B48" i="62"/>
  <c r="B57" i="62"/>
  <c r="A14" i="16"/>
  <c r="A12" i="16"/>
  <c r="A13" i="16"/>
  <c r="A65" i="13"/>
  <c r="A75" i="13"/>
  <c r="A74" i="13"/>
  <c r="A19" i="58"/>
  <c r="A78" i="24"/>
  <c r="A59" i="62"/>
  <c r="A15" i="58"/>
  <c r="B19" i="53"/>
  <c r="C4" i="32"/>
  <c r="G4" i="32"/>
  <c r="C24" i="63"/>
  <c r="N24" i="63" s="1"/>
  <c r="N21" i="63"/>
  <c r="N20" i="63"/>
  <c r="A60" i="63" l="1"/>
  <c r="A42" i="63"/>
  <c r="D17" i="63"/>
  <c r="B15" i="58"/>
  <c r="A63" i="63"/>
  <c r="A68" i="46"/>
  <c r="A57" i="62"/>
  <c r="D16" i="63" l="1"/>
  <c r="C25" i="63"/>
  <c r="D18" i="63"/>
  <c r="H17" i="58"/>
  <c r="A48" i="62" l="1"/>
  <c r="S25" i="17"/>
  <c r="E57" i="62" l="1"/>
  <c r="B56" i="63"/>
  <c r="B55" i="63"/>
  <c r="B54" i="63"/>
  <c r="B53" i="63"/>
  <c r="B52" i="63"/>
  <c r="B51" i="63"/>
  <c r="B50" i="63"/>
  <c r="B49" i="63"/>
  <c r="B48" i="63"/>
  <c r="B47" i="63"/>
  <c r="D24" i="63"/>
  <c r="D23" i="63"/>
  <c r="D22" i="63"/>
  <c r="D21" i="63"/>
  <c r="D20" i="63"/>
  <c r="D19" i="63"/>
  <c r="B38" i="63"/>
  <c r="B37" i="63"/>
  <c r="B36" i="63"/>
  <c r="B35" i="63"/>
  <c r="B34" i="63"/>
  <c r="B33" i="63"/>
  <c r="B32" i="63"/>
  <c r="B31" i="63"/>
  <c r="B30" i="63"/>
  <c r="B29" i="63"/>
  <c r="B15" i="63"/>
  <c r="B16" i="63"/>
  <c r="B24" i="63"/>
  <c r="B23" i="63"/>
  <c r="B22" i="63"/>
  <c r="B21" i="63"/>
  <c r="B20" i="63"/>
  <c r="B19" i="63"/>
  <c r="B18" i="63"/>
  <c r="B17" i="63"/>
  <c r="D25" i="63" l="1"/>
  <c r="AW14" i="17"/>
  <c r="AY15" i="17" s="1"/>
  <c r="AS14" i="17"/>
  <c r="G43" i="62"/>
  <c r="C43" i="62" s="1"/>
  <c r="G17" i="62"/>
  <c r="A17" i="62" s="1"/>
  <c r="G10" i="62"/>
  <c r="B10" i="62" s="1"/>
  <c r="G14" i="62"/>
  <c r="B14" i="62" s="1"/>
  <c r="G13" i="62"/>
  <c r="B13" i="62" s="1"/>
  <c r="G12" i="62"/>
  <c r="B12" i="62" s="1"/>
  <c r="A46" i="62"/>
  <c r="G8" i="62"/>
  <c r="B8" i="62" s="1"/>
  <c r="G7" i="62"/>
  <c r="B7" i="62" s="1"/>
  <c r="G6" i="62"/>
  <c r="B6" i="62" s="1"/>
  <c r="D9" i="24"/>
  <c r="G57" i="24"/>
  <c r="C38" i="63"/>
  <c r="J44" i="46"/>
  <c r="F38" i="63"/>
  <c r="C37" i="63"/>
  <c r="D37" i="63"/>
  <c r="F37" i="63"/>
  <c r="J47" i="47"/>
  <c r="J49" i="47"/>
  <c r="C36" i="63"/>
  <c r="D36" i="63"/>
  <c r="J46" i="48"/>
  <c r="J47" i="48"/>
  <c r="D35" i="63"/>
  <c r="E35" i="63"/>
  <c r="F35" i="63"/>
  <c r="G35" i="63"/>
  <c r="H35" i="63"/>
  <c r="C34" i="63"/>
  <c r="D34" i="63"/>
  <c r="F34" i="63"/>
  <c r="G34" i="63"/>
  <c r="H34" i="63"/>
  <c r="C33" i="63"/>
  <c r="D33" i="63"/>
  <c r="E33" i="63"/>
  <c r="G33" i="63"/>
  <c r="I33" i="63"/>
  <c r="C32" i="63"/>
  <c r="E32" i="63"/>
  <c r="F32" i="63"/>
  <c r="J47" i="35"/>
  <c r="D31" i="63"/>
  <c r="E31" i="63"/>
  <c r="F31" i="63"/>
  <c r="H31" i="63"/>
  <c r="I1" i="46"/>
  <c r="I24" i="46"/>
  <c r="I64" i="46" s="1"/>
  <c r="I1" i="47"/>
  <c r="I24" i="47"/>
  <c r="I64" i="47" s="1"/>
  <c r="I1" i="48"/>
  <c r="I24" i="48"/>
  <c r="I64" i="48" s="1"/>
  <c r="I1" i="50"/>
  <c r="I1" i="49"/>
  <c r="J47" i="49"/>
  <c r="I24" i="49"/>
  <c r="I63" i="49" s="1"/>
  <c r="I24" i="50"/>
  <c r="I64" i="50" s="1"/>
  <c r="I1" i="36"/>
  <c r="I24" i="36"/>
  <c r="I63" i="36" s="1"/>
  <c r="I1" i="35"/>
  <c r="I24" i="35"/>
  <c r="I64" i="35" s="1"/>
  <c r="I1" i="34"/>
  <c r="I24" i="34"/>
  <c r="I64" i="34" s="1"/>
  <c r="C30" i="63"/>
  <c r="D30" i="63"/>
  <c r="E30" i="63"/>
  <c r="F30" i="63"/>
  <c r="H30" i="63"/>
  <c r="I24" i="33"/>
  <c r="I64" i="33" s="1"/>
  <c r="I1" i="33"/>
  <c r="B43" i="3"/>
  <c r="C29" i="63" s="1"/>
  <c r="B46" i="3"/>
  <c r="B47" i="3"/>
  <c r="D47" i="3" s="1"/>
  <c r="G47" i="63" s="1"/>
  <c r="B49" i="3"/>
  <c r="B45" i="3"/>
  <c r="E29" i="63" s="1"/>
  <c r="B44" i="3"/>
  <c r="J43" i="49" l="1"/>
  <c r="C35" i="63"/>
  <c r="J44" i="49"/>
  <c r="J43" i="46"/>
  <c r="J49" i="36"/>
  <c r="L49" i="36"/>
  <c r="J34" i="63"/>
  <c r="J43" i="33"/>
  <c r="J46" i="46"/>
  <c r="J44" i="34"/>
  <c r="J44" i="50"/>
  <c r="D52" i="63"/>
  <c r="J46" i="49"/>
  <c r="F53" i="63"/>
  <c r="J47" i="50"/>
  <c r="G52" i="63"/>
  <c r="J44" i="33"/>
  <c r="J47" i="36"/>
  <c r="D53" i="63"/>
  <c r="F56" i="63"/>
  <c r="J44" i="47"/>
  <c r="J50" i="47"/>
  <c r="L43" i="46"/>
  <c r="D51" i="63"/>
  <c r="J51" i="63"/>
  <c r="D43" i="3"/>
  <c r="C47" i="63" s="1"/>
  <c r="J46" i="34"/>
  <c r="E49" i="63"/>
  <c r="E50" i="63"/>
  <c r="F52" i="63"/>
  <c r="J47" i="33"/>
  <c r="G30" i="63"/>
  <c r="D50" i="63"/>
  <c r="D32" i="63"/>
  <c r="J43" i="48"/>
  <c r="C50" i="63"/>
  <c r="J49" i="48"/>
  <c r="I36" i="63"/>
  <c r="J43" i="47"/>
  <c r="I38" i="63"/>
  <c r="H48" i="63"/>
  <c r="E52" i="63"/>
  <c r="E34" i="63"/>
  <c r="E55" i="63"/>
  <c r="E37" i="63"/>
  <c r="D54" i="63"/>
  <c r="B50" i="3"/>
  <c r="J29" i="63" s="1"/>
  <c r="I29" i="63"/>
  <c r="J46" i="47"/>
  <c r="J44" i="48"/>
  <c r="J50" i="34"/>
  <c r="J31" i="63"/>
  <c r="F50" i="63"/>
  <c r="J46" i="50"/>
  <c r="H53" i="63"/>
  <c r="H54" i="63"/>
  <c r="H36" i="63"/>
  <c r="F55" i="63"/>
  <c r="E56" i="63"/>
  <c r="E38" i="63"/>
  <c r="I30" i="63"/>
  <c r="F49" i="63"/>
  <c r="E51" i="63"/>
  <c r="H56" i="63"/>
  <c r="H38" i="63"/>
  <c r="G48" i="63"/>
  <c r="G38" i="63"/>
  <c r="F48" i="63"/>
  <c r="J44" i="36"/>
  <c r="J47" i="46"/>
  <c r="C49" i="63"/>
  <c r="C31" i="63"/>
  <c r="J47" i="3"/>
  <c r="G29" i="63"/>
  <c r="E48" i="63"/>
  <c r="J46" i="3"/>
  <c r="F29" i="63"/>
  <c r="J46" i="33"/>
  <c r="D48" i="63"/>
  <c r="J43" i="35"/>
  <c r="J49" i="63"/>
  <c r="J49" i="34"/>
  <c r="I31" i="63"/>
  <c r="J32" i="63"/>
  <c r="I32" i="63"/>
  <c r="H51" i="63"/>
  <c r="H33" i="63"/>
  <c r="J49" i="50"/>
  <c r="I34" i="63"/>
  <c r="G36" i="63"/>
  <c r="I37" i="63"/>
  <c r="D55" i="63"/>
  <c r="D56" i="63"/>
  <c r="D38" i="63"/>
  <c r="J44" i="3"/>
  <c r="D29" i="63"/>
  <c r="D49" i="63"/>
  <c r="C51" i="63"/>
  <c r="J54" i="63"/>
  <c r="J36" i="63"/>
  <c r="J49" i="33"/>
  <c r="C48" i="63"/>
  <c r="H50" i="63"/>
  <c r="H32" i="63"/>
  <c r="L49" i="50"/>
  <c r="I52" i="63"/>
  <c r="F54" i="63"/>
  <c r="F36" i="63"/>
  <c r="H55" i="63"/>
  <c r="H37" i="63"/>
  <c r="I48" i="63"/>
  <c r="J44" i="35"/>
  <c r="D49" i="3"/>
  <c r="I47" i="63" s="1"/>
  <c r="J46" i="35"/>
  <c r="J50" i="48"/>
  <c r="H49" i="63"/>
  <c r="J47" i="34"/>
  <c r="G31" i="63"/>
  <c r="G32" i="63"/>
  <c r="J46" i="36"/>
  <c r="F33" i="63"/>
  <c r="H52" i="63"/>
  <c r="E53" i="63"/>
  <c r="E54" i="63"/>
  <c r="E36" i="63"/>
  <c r="G37" i="63"/>
  <c r="J56" i="63"/>
  <c r="K53" i="63"/>
  <c r="K35" i="63"/>
  <c r="J49" i="49"/>
  <c r="I35" i="63"/>
  <c r="AU23" i="17"/>
  <c r="AU22" i="17"/>
  <c r="AU21" i="17"/>
  <c r="AU20" i="17"/>
  <c r="AU19" i="17"/>
  <c r="AU18" i="17"/>
  <c r="AU17" i="17"/>
  <c r="AU16" i="17"/>
  <c r="AU15" i="17"/>
  <c r="AU14" i="17"/>
  <c r="AY23" i="17"/>
  <c r="AY22" i="17"/>
  <c r="AY21" i="17"/>
  <c r="AY20" i="17"/>
  <c r="AY19" i="17"/>
  <c r="AY18" i="17"/>
  <c r="AY17" i="17"/>
  <c r="AY16" i="17"/>
  <c r="AY14" i="17"/>
  <c r="J49" i="46"/>
  <c r="I51" i="48"/>
  <c r="J35" i="63"/>
  <c r="J43" i="50"/>
  <c r="J43" i="36"/>
  <c r="F51" i="63"/>
  <c r="I51" i="36"/>
  <c r="I64" i="36"/>
  <c r="J49" i="35"/>
  <c r="J43" i="34"/>
  <c r="I51" i="46"/>
  <c r="I38" i="46"/>
  <c r="I63" i="46"/>
  <c r="I51" i="47"/>
  <c r="I38" i="47"/>
  <c r="I63" i="47"/>
  <c r="I38" i="48"/>
  <c r="I63" i="48"/>
  <c r="I38" i="49"/>
  <c r="I51" i="49"/>
  <c r="I64" i="49"/>
  <c r="I51" i="50"/>
  <c r="I63" i="50"/>
  <c r="I38" i="50"/>
  <c r="I38" i="36"/>
  <c r="I51" i="35"/>
  <c r="I38" i="35"/>
  <c r="I63" i="35"/>
  <c r="I38" i="34"/>
  <c r="I51" i="34"/>
  <c r="I63" i="34"/>
  <c r="I38" i="33"/>
  <c r="I51" i="33"/>
  <c r="I63" i="33"/>
  <c r="J43" i="3"/>
  <c r="J49" i="3"/>
  <c r="I24" i="3"/>
  <c r="I38" i="3" s="1"/>
  <c r="A170" i="16"/>
  <c r="B163" i="16"/>
  <c r="B13" i="16" s="1"/>
  <c r="B14" i="16" s="1"/>
  <c r="F162" i="16"/>
  <c r="E40" i="63" l="1"/>
  <c r="H47" i="17" s="1"/>
  <c r="C40" i="63"/>
  <c r="F47" i="17" s="1"/>
  <c r="D57" i="62"/>
  <c r="R25" i="17"/>
  <c r="I40" i="63"/>
  <c r="L47" i="17" s="1"/>
  <c r="D40" i="63"/>
  <c r="G47" i="17" s="1"/>
  <c r="G40" i="63"/>
  <c r="J47" i="17" s="1"/>
  <c r="G39" i="63"/>
  <c r="G42" i="63" s="1"/>
  <c r="D52" i="62" s="1"/>
  <c r="F39" i="63"/>
  <c r="F40" i="63"/>
  <c r="I47" i="17" s="1"/>
  <c r="F163" i="16"/>
  <c r="A169" i="16"/>
  <c r="C39" i="63"/>
  <c r="C42" i="63" s="1"/>
  <c r="D48" i="62" s="1"/>
  <c r="N35" i="63"/>
  <c r="J50" i="50"/>
  <c r="J52" i="63"/>
  <c r="L47" i="50"/>
  <c r="J55" i="63"/>
  <c r="J37" i="63"/>
  <c r="I51" i="63"/>
  <c r="F164" i="16"/>
  <c r="J50" i="63"/>
  <c r="D39" i="63"/>
  <c r="E39" i="63"/>
  <c r="J50" i="35"/>
  <c r="I49" i="63"/>
  <c r="L49" i="34"/>
  <c r="C56" i="63"/>
  <c r="J33" i="63"/>
  <c r="J50" i="36"/>
  <c r="L43" i="48"/>
  <c r="C54" i="63"/>
  <c r="L49" i="35"/>
  <c r="I50" i="63"/>
  <c r="L47" i="35"/>
  <c r="G50" i="63"/>
  <c r="L47" i="49"/>
  <c r="G53" i="63"/>
  <c r="L43" i="35"/>
  <c r="L49" i="49"/>
  <c r="I53" i="63"/>
  <c r="L47" i="46"/>
  <c r="G56" i="63"/>
  <c r="L49" i="48"/>
  <c r="I54" i="63"/>
  <c r="L43" i="49"/>
  <c r="C53" i="63"/>
  <c r="L43" i="50"/>
  <c r="C52" i="63"/>
  <c r="L43" i="36"/>
  <c r="J50" i="46"/>
  <c r="J38" i="63"/>
  <c r="L49" i="46"/>
  <c r="I56" i="63"/>
  <c r="J50" i="33"/>
  <c r="J30" i="63"/>
  <c r="J48" i="63"/>
  <c r="L49" i="47"/>
  <c r="I55" i="63"/>
  <c r="L43" i="47"/>
  <c r="C55" i="63"/>
  <c r="L43" i="34"/>
  <c r="L47" i="34"/>
  <c r="G49" i="63"/>
  <c r="I39" i="63"/>
  <c r="L47" i="47"/>
  <c r="G55" i="63"/>
  <c r="G51" i="63"/>
  <c r="L47" i="36"/>
  <c r="L47" i="48"/>
  <c r="G54" i="63"/>
  <c r="AX21" i="17"/>
  <c r="AX20" i="17"/>
  <c r="AX22" i="17"/>
  <c r="AX14" i="17"/>
  <c r="AX15" i="17" s="1"/>
  <c r="AX16" i="17" s="1"/>
  <c r="AX23" i="17"/>
  <c r="AT23" i="17"/>
  <c r="AT22" i="17"/>
  <c r="AT14" i="17"/>
  <c r="J50" i="49"/>
  <c r="J53" i="63"/>
  <c r="I51" i="3"/>
  <c r="I63" i="3"/>
  <c r="I64" i="3"/>
  <c r="B25" i="31"/>
  <c r="B24" i="31"/>
  <c r="B23" i="31"/>
  <c r="A66" i="33"/>
  <c r="A66" i="34"/>
  <c r="A66" i="36"/>
  <c r="A66" i="50"/>
  <c r="A66" i="49"/>
  <c r="A66" i="48"/>
  <c r="A66" i="47"/>
  <c r="A66" i="46"/>
  <c r="A66" i="3"/>
  <c r="A61" i="46"/>
  <c r="A61" i="47"/>
  <c r="A61" i="48"/>
  <c r="A61" i="50"/>
  <c r="A61" i="36"/>
  <c r="A61" i="33"/>
  <c r="A61" i="3"/>
  <c r="A61" i="34"/>
  <c r="A57" i="34"/>
  <c r="A57" i="35"/>
  <c r="A57" i="36"/>
  <c r="A57" i="50"/>
  <c r="A57" i="49"/>
  <c r="A57" i="48"/>
  <c r="A57" i="47"/>
  <c r="A57" i="46"/>
  <c r="A57" i="33"/>
  <c r="A57" i="3"/>
  <c r="J40" i="63" l="1"/>
  <c r="M47" i="17" s="1"/>
  <c r="L46" i="17"/>
  <c r="I42" i="63"/>
  <c r="D54" i="62" s="1"/>
  <c r="H46" i="17"/>
  <c r="E42" i="63"/>
  <c r="D50" i="62" s="1"/>
  <c r="F46" i="17"/>
  <c r="G46" i="17"/>
  <c r="D42" i="63"/>
  <c r="D49" i="62" s="1"/>
  <c r="J46" i="17"/>
  <c r="I46" i="17"/>
  <c r="F42" i="63"/>
  <c r="D51" i="62" s="1"/>
  <c r="I58" i="63"/>
  <c r="L49" i="17" s="1"/>
  <c r="C58" i="63"/>
  <c r="F49" i="17" s="1"/>
  <c r="G58" i="63"/>
  <c r="J49" i="17" s="1"/>
  <c r="N53" i="63"/>
  <c r="C57" i="63"/>
  <c r="J39" i="63"/>
  <c r="I57" i="63"/>
  <c r="G57" i="63"/>
  <c r="G60" i="63" s="1"/>
  <c r="E52" i="62" s="1"/>
  <c r="AX17" i="17"/>
  <c r="AX18" i="17" s="1"/>
  <c r="AT15" i="17"/>
  <c r="F1" i="16"/>
  <c r="F75" i="16"/>
  <c r="F61" i="16"/>
  <c r="F47" i="16"/>
  <c r="F89" i="16"/>
  <c r="F145" i="16"/>
  <c r="F33" i="16"/>
  <c r="F131" i="16"/>
  <c r="F117" i="16"/>
  <c r="F103" i="16"/>
  <c r="A73" i="13"/>
  <c r="A72" i="13"/>
  <c r="A71" i="13"/>
  <c r="A70" i="13"/>
  <c r="A69" i="13"/>
  <c r="A68" i="13"/>
  <c r="A66" i="13"/>
  <c r="A64" i="13"/>
  <c r="A63" i="13"/>
  <c r="A62" i="13"/>
  <c r="A61" i="13"/>
  <c r="A60" i="13"/>
  <c r="A59" i="13"/>
  <c r="A58" i="13"/>
  <c r="A57" i="13"/>
  <c r="A56" i="13"/>
  <c r="A55" i="13"/>
  <c r="A53" i="13"/>
  <c r="A52" i="13"/>
  <c r="F48" i="17" l="1"/>
  <c r="C60" i="63"/>
  <c r="E48" i="62" s="1"/>
  <c r="L48" i="17"/>
  <c r="I60" i="63"/>
  <c r="E54" i="62" s="1"/>
  <c r="M46" i="17"/>
  <c r="J42" i="63"/>
  <c r="D55" i="62" s="1"/>
  <c r="AX19" i="17"/>
  <c r="AZ22" i="17" s="1"/>
  <c r="C26" i="62"/>
  <c r="J48" i="17"/>
  <c r="AT16" i="17"/>
  <c r="F138" i="16"/>
  <c r="F139" i="16"/>
  <c r="F140" i="16"/>
  <c r="F132" i="16"/>
  <c r="F133" i="16"/>
  <c r="F141" i="16"/>
  <c r="F134" i="16"/>
  <c r="F142" i="16"/>
  <c r="F135" i="16"/>
  <c r="F143" i="16"/>
  <c r="F136" i="16"/>
  <c r="F144" i="16"/>
  <c r="F137" i="16"/>
  <c r="F149" i="16"/>
  <c r="F157" i="16"/>
  <c r="F150" i="16"/>
  <c r="F158" i="16"/>
  <c r="F151" i="16"/>
  <c r="F146" i="16"/>
  <c r="F152" i="16"/>
  <c r="F156" i="16"/>
  <c r="F153" i="16"/>
  <c r="F154" i="16"/>
  <c r="F147" i="16"/>
  <c r="F155" i="16"/>
  <c r="F148" i="16"/>
  <c r="F97" i="16"/>
  <c r="F98" i="16"/>
  <c r="F91" i="16"/>
  <c r="F99" i="16"/>
  <c r="F96" i="16"/>
  <c r="F92" i="16"/>
  <c r="F100" i="16"/>
  <c r="F93" i="16"/>
  <c r="F101" i="16"/>
  <c r="F94" i="16"/>
  <c r="F102" i="16"/>
  <c r="F95" i="16"/>
  <c r="F90" i="16"/>
  <c r="F56" i="16"/>
  <c r="F49" i="16"/>
  <c r="F57" i="16"/>
  <c r="F50" i="16"/>
  <c r="F58" i="16"/>
  <c r="F51" i="16"/>
  <c r="F59" i="16"/>
  <c r="F52" i="16"/>
  <c r="F60" i="16"/>
  <c r="F53" i="16"/>
  <c r="F48" i="16"/>
  <c r="F54" i="16"/>
  <c r="F55" i="16"/>
  <c r="F67" i="16"/>
  <c r="F62" i="16"/>
  <c r="F68" i="16"/>
  <c r="F69" i="16"/>
  <c r="F66" i="16"/>
  <c r="F70" i="16"/>
  <c r="F65" i="16"/>
  <c r="F74" i="16"/>
  <c r="F63" i="16"/>
  <c r="F71" i="16"/>
  <c r="F64" i="16"/>
  <c r="F72" i="16"/>
  <c r="F73" i="16"/>
  <c r="F119" i="16"/>
  <c r="F127" i="16"/>
  <c r="F120" i="16"/>
  <c r="F128" i="16"/>
  <c r="F121" i="16"/>
  <c r="F129" i="16"/>
  <c r="F122" i="16"/>
  <c r="F130" i="16"/>
  <c r="F123" i="16"/>
  <c r="F118" i="16"/>
  <c r="F124" i="16"/>
  <c r="F125" i="16"/>
  <c r="F126" i="16"/>
  <c r="F37" i="16"/>
  <c r="F45" i="16"/>
  <c r="F38" i="16"/>
  <c r="F46" i="16"/>
  <c r="F39" i="16"/>
  <c r="F34" i="16"/>
  <c r="F36" i="16"/>
  <c r="F40" i="16"/>
  <c r="F35" i="16"/>
  <c r="F44" i="16"/>
  <c r="F41" i="16"/>
  <c r="F42" i="16"/>
  <c r="F43" i="16"/>
  <c r="F108" i="16"/>
  <c r="F116" i="16"/>
  <c r="F109" i="16"/>
  <c r="F104" i="16"/>
  <c r="F110" i="16"/>
  <c r="F111" i="16"/>
  <c r="F114" i="16"/>
  <c r="F107" i="16"/>
  <c r="F112" i="16"/>
  <c r="F105" i="16"/>
  <c r="F113" i="16"/>
  <c r="F106" i="16"/>
  <c r="F115" i="16"/>
  <c r="F78" i="16"/>
  <c r="F86" i="16"/>
  <c r="F79" i="16"/>
  <c r="F87" i="16"/>
  <c r="F80" i="16"/>
  <c r="F88" i="16"/>
  <c r="F81" i="16"/>
  <c r="F76" i="16"/>
  <c r="F77" i="16"/>
  <c r="F82" i="16"/>
  <c r="F83" i="16"/>
  <c r="F84" i="16"/>
  <c r="F85" i="16"/>
  <c r="A77" i="13"/>
  <c r="C23" i="62" l="1"/>
  <c r="C21" i="62"/>
  <c r="AZ15" i="17"/>
  <c r="AZ16" i="17"/>
  <c r="AZ14" i="17"/>
  <c r="AZ18" i="17"/>
  <c r="AZ20" i="17"/>
  <c r="AZ19" i="17"/>
  <c r="AZ23" i="17"/>
  <c r="AZ17" i="17"/>
  <c r="AZ21" i="17"/>
  <c r="AT17" i="17"/>
  <c r="AZ24" i="17" l="1"/>
  <c r="G37" i="62" s="1"/>
  <c r="B37" i="62" s="1"/>
  <c r="AT18" i="17"/>
  <c r="AT19" i="17" s="1"/>
  <c r="AT20" i="17" s="1"/>
  <c r="E35" i="34"/>
  <c r="E34" i="34"/>
  <c r="E33" i="34"/>
  <c r="E32" i="34"/>
  <c r="E31" i="34"/>
  <c r="E30" i="34"/>
  <c r="E35" i="35"/>
  <c r="E34" i="35"/>
  <c r="E33" i="35"/>
  <c r="E32" i="35"/>
  <c r="E31" i="35"/>
  <c r="E30" i="35"/>
  <c r="E35" i="36"/>
  <c r="E34" i="36"/>
  <c r="E33" i="36"/>
  <c r="E32" i="36"/>
  <c r="E31" i="36"/>
  <c r="E30" i="36"/>
  <c r="E35" i="50"/>
  <c r="E34" i="50"/>
  <c r="E33" i="50"/>
  <c r="E32" i="50"/>
  <c r="E31" i="50"/>
  <c r="E30" i="50"/>
  <c r="E35" i="49"/>
  <c r="E34" i="49"/>
  <c r="E33" i="49"/>
  <c r="E32" i="49"/>
  <c r="E31" i="49"/>
  <c r="E30" i="49"/>
  <c r="E35" i="48"/>
  <c r="E34" i="48"/>
  <c r="E33" i="48"/>
  <c r="E32" i="48"/>
  <c r="E31" i="48"/>
  <c r="E30" i="48"/>
  <c r="E35" i="47"/>
  <c r="E34" i="47"/>
  <c r="E33" i="47"/>
  <c r="E32" i="47"/>
  <c r="E31" i="47"/>
  <c r="E30" i="47"/>
  <c r="E35" i="46"/>
  <c r="E34" i="46"/>
  <c r="E33" i="46"/>
  <c r="E32" i="46"/>
  <c r="E31" i="46"/>
  <c r="E30" i="46"/>
  <c r="E35" i="33"/>
  <c r="E34" i="33"/>
  <c r="E33" i="33"/>
  <c r="E32" i="33"/>
  <c r="E31" i="33"/>
  <c r="E30" i="33"/>
  <c r="E35" i="3"/>
  <c r="E34" i="3"/>
  <c r="E33" i="3"/>
  <c r="E32" i="3"/>
  <c r="E31" i="3"/>
  <c r="E30" i="3"/>
  <c r="AT21" i="17" l="1"/>
  <c r="AV15" i="17" s="1"/>
  <c r="B26" i="47"/>
  <c r="B51" i="47" s="1"/>
  <c r="D51" i="47" s="1"/>
  <c r="B26" i="48"/>
  <c r="B51" i="48" s="1"/>
  <c r="D51" i="48" s="1"/>
  <c r="B26" i="50"/>
  <c r="B51" i="50" s="1"/>
  <c r="D51" i="50" s="1"/>
  <c r="B26" i="36"/>
  <c r="B51" i="36" s="1"/>
  <c r="D51" i="36" s="1"/>
  <c r="B26" i="35"/>
  <c r="B51" i="35" s="1"/>
  <c r="D51" i="35" s="1"/>
  <c r="B26" i="34"/>
  <c r="B51" i="34" s="1"/>
  <c r="D51" i="34" s="1"/>
  <c r="B26" i="33"/>
  <c r="B51" i="33" s="1"/>
  <c r="D51" i="33" s="1"/>
  <c r="AV18" i="17" l="1"/>
  <c r="AV17" i="17"/>
  <c r="AV19" i="17"/>
  <c r="AV20" i="17"/>
  <c r="AV21" i="17"/>
  <c r="AV22" i="17"/>
  <c r="AV23" i="17"/>
  <c r="AV16" i="17"/>
  <c r="AV14" i="17"/>
  <c r="K51" i="63"/>
  <c r="N51" i="63" s="1"/>
  <c r="K33" i="63"/>
  <c r="N33" i="63" s="1"/>
  <c r="K50" i="63"/>
  <c r="N50" i="63" s="1"/>
  <c r="K32" i="63"/>
  <c r="N32" i="63" s="1"/>
  <c r="K54" i="63"/>
  <c r="N54" i="63" s="1"/>
  <c r="K36" i="63"/>
  <c r="N36" i="63" s="1"/>
  <c r="K49" i="63"/>
  <c r="N49" i="63" s="1"/>
  <c r="K31" i="63"/>
  <c r="N31" i="63" s="1"/>
  <c r="K52" i="63"/>
  <c r="N52" i="63" s="1"/>
  <c r="K34" i="63"/>
  <c r="N34" i="63" s="1"/>
  <c r="K55" i="63"/>
  <c r="N55" i="63" s="1"/>
  <c r="K37" i="63"/>
  <c r="N37" i="63" s="1"/>
  <c r="K38" i="63"/>
  <c r="N38" i="63" s="1"/>
  <c r="K56" i="63"/>
  <c r="K48" i="63"/>
  <c r="N48" i="63" s="1"/>
  <c r="K30" i="63"/>
  <c r="N30" i="63" s="1"/>
  <c r="N56" i="63" l="1"/>
  <c r="AV24" i="17"/>
  <c r="G36" i="62" s="1"/>
  <c r="B36" i="62" s="1"/>
  <c r="G12" i="31"/>
  <c r="H10" i="31"/>
  <c r="H9" i="31"/>
  <c r="C25" i="31" l="1"/>
  <c r="C24" i="31"/>
  <c r="C43" i="31"/>
  <c r="C45" i="31" s="1"/>
  <c r="C42" i="31" l="1"/>
  <c r="C49" i="31"/>
  <c r="C48" i="31"/>
  <c r="C47" i="31"/>
  <c r="C46" i="31"/>
  <c r="C44" i="31"/>
  <c r="B39" i="31" l="1"/>
  <c r="G38" i="31" l="1"/>
  <c r="J17" i="31" l="1"/>
  <c r="K17" i="31"/>
  <c r="C22" i="31" s="1"/>
  <c r="L17" i="31"/>
  <c r="B17" i="31"/>
  <c r="A59" i="33"/>
  <c r="A59" i="34"/>
  <c r="A59" i="35"/>
  <c r="A59" i="36"/>
  <c r="A59" i="50"/>
  <c r="A59" i="49"/>
  <c r="A59" i="48"/>
  <c r="A59" i="47"/>
  <c r="A59" i="46"/>
  <c r="A59" i="3"/>
  <c r="G25" i="31" l="1"/>
  <c r="A18" i="31"/>
  <c r="G18" i="31"/>
  <c r="B19" i="31" s="1"/>
  <c r="G20" i="31" s="1"/>
  <c r="G24" i="31"/>
  <c r="G22" i="31"/>
  <c r="G23" i="31" s="1"/>
  <c r="J50" i="3"/>
  <c r="A6" i="58"/>
  <c r="E45" i="21"/>
  <c r="A61" i="49" l="1"/>
  <c r="A61" i="35"/>
  <c r="G28" i="31"/>
  <c r="G27" i="31"/>
  <c r="G33" i="31"/>
  <c r="G21" i="31"/>
  <c r="G26" i="31"/>
  <c r="C23" i="31"/>
  <c r="E114" i="21"/>
  <c r="E116" i="21" s="1"/>
  <c r="E86" i="21"/>
  <c r="E97" i="21"/>
  <c r="E100" i="21"/>
  <c r="E103" i="21"/>
  <c r="E106" i="21"/>
  <c r="E109" i="21"/>
  <c r="F93" i="21"/>
  <c r="F117" i="21"/>
  <c r="F118" i="21"/>
  <c r="F119" i="21"/>
  <c r="F120" i="21"/>
  <c r="F121" i="21"/>
  <c r="F122" i="21"/>
  <c r="F123" i="21"/>
  <c r="F114" i="21"/>
  <c r="F5" i="21"/>
  <c r="E115" i="21" l="1"/>
  <c r="B26" i="3" l="1"/>
  <c r="B51" i="3" s="1"/>
  <c r="J51" i="3" l="1"/>
  <c r="K29" i="63"/>
  <c r="D51" i="3"/>
  <c r="K47" i="63" s="1"/>
  <c r="A64" i="3"/>
  <c r="A64" i="49"/>
  <c r="K39" i="63" l="1"/>
  <c r="K42" i="63" s="1"/>
  <c r="D56" i="62" s="1"/>
  <c r="K40" i="63"/>
  <c r="N47" i="17" s="1"/>
  <c r="K57" i="63"/>
  <c r="K58" i="63"/>
  <c r="N49" i="17" s="1"/>
  <c r="J51" i="33"/>
  <c r="A64" i="33"/>
  <c r="J51" i="46"/>
  <c r="A64" i="46"/>
  <c r="J51" i="34"/>
  <c r="A64" i="34"/>
  <c r="J51" i="35"/>
  <c r="A64" i="35"/>
  <c r="J51" i="47"/>
  <c r="A64" i="47"/>
  <c r="J51" i="36"/>
  <c r="A64" i="36"/>
  <c r="J51" i="50"/>
  <c r="A64" i="50"/>
  <c r="J51" i="49"/>
  <c r="J51" i="48"/>
  <c r="A64" i="48"/>
  <c r="N48" i="17" l="1"/>
  <c r="K60" i="63"/>
  <c r="N46" i="17"/>
  <c r="A10" i="54"/>
  <c r="A78" i="29"/>
  <c r="A21" i="11"/>
  <c r="A68" i="47"/>
  <c r="A68" i="48"/>
  <c r="A68" i="49"/>
  <c r="A68" i="50"/>
  <c r="A68" i="36"/>
  <c r="A68" i="35"/>
  <c r="A68" i="34"/>
  <c r="A68" i="33"/>
  <c r="A68" i="3"/>
  <c r="A9" i="32"/>
  <c r="A135" i="21"/>
  <c r="E56" i="62" l="1"/>
  <c r="C29" i="62"/>
  <c r="E29" i="62" s="1"/>
  <c r="B16" i="58"/>
  <c r="K16" i="58" s="1"/>
  <c r="K17" i="58" s="1"/>
  <c r="D29" i="62" l="1"/>
  <c r="D48" i="31"/>
  <c r="I48" i="31" s="1"/>
  <c r="G19" i="53" l="1"/>
  <c r="B27" i="60" l="1"/>
  <c r="B20" i="60"/>
  <c r="B35" i="60" l="1"/>
  <c r="A36" i="60" s="1"/>
  <c r="B36" i="60" l="1"/>
  <c r="G42" i="62" s="1"/>
  <c r="C42" i="62" s="1"/>
  <c r="G24" i="17"/>
  <c r="B14" i="58" s="1"/>
  <c r="G23" i="17"/>
  <c r="B13" i="58" s="1"/>
  <c r="G22" i="17"/>
  <c r="B12" i="58" s="1"/>
  <c r="G21" i="17"/>
  <c r="B11" i="58" s="1"/>
  <c r="G20" i="17"/>
  <c r="B10" i="58" s="1"/>
  <c r="G19" i="17"/>
  <c r="B9" i="58" s="1"/>
  <c r="G18" i="17"/>
  <c r="B8" i="58" s="1"/>
  <c r="G17" i="17"/>
  <c r="B7" i="58" s="1"/>
  <c r="G16" i="17"/>
  <c r="B6" i="58" s="1"/>
  <c r="AM27" i="17" l="1"/>
  <c r="AM16" i="17" s="1"/>
  <c r="AM15" i="17" s="1"/>
  <c r="AK27" i="17"/>
  <c r="AK16" i="17" s="1"/>
  <c r="AK15" i="17" s="1"/>
  <c r="AI27" i="17"/>
  <c r="AI16" i="17" s="1"/>
  <c r="AI15" i="17" s="1"/>
  <c r="AG27" i="17"/>
  <c r="AG16" i="17" s="1"/>
  <c r="AG15" i="17" s="1"/>
  <c r="AE27" i="17"/>
  <c r="AE16" i="17" s="1"/>
  <c r="AE15" i="17" s="1"/>
  <c r="AC27" i="17"/>
  <c r="AC16" i="17" s="1"/>
  <c r="AC15" i="17" s="1"/>
  <c r="AA27" i="17"/>
  <c r="AN27" i="17"/>
  <c r="AN16" i="17" s="1"/>
  <c r="AN15" i="17" s="1"/>
  <c r="AL27" i="17"/>
  <c r="AL16" i="17" s="1"/>
  <c r="AL15" i="17" s="1"/>
  <c r="AJ27" i="17"/>
  <c r="AJ16" i="17" s="1"/>
  <c r="AJ15" i="17" s="1"/>
  <c r="AH27" i="17"/>
  <c r="AH16" i="17" s="1"/>
  <c r="AH15" i="17" s="1"/>
  <c r="AF27" i="17"/>
  <c r="AF16" i="17" s="1"/>
  <c r="AF15" i="17" s="1"/>
  <c r="AD27" i="17"/>
  <c r="AD16" i="17" s="1"/>
  <c r="AD15" i="17" s="1"/>
  <c r="AB27" i="17"/>
  <c r="AB16" i="17" s="1"/>
  <c r="AB15" i="17" s="1"/>
  <c r="AA15" i="17" l="1"/>
  <c r="AA16" i="17"/>
  <c r="I19" i="53" l="1"/>
  <c r="H19" i="53"/>
  <c r="F19" i="53"/>
  <c r="E26" i="62" s="1"/>
  <c r="E19" i="53"/>
  <c r="D19" i="53"/>
  <c r="C19" i="53"/>
  <c r="E21" i="62" s="1"/>
  <c r="B58" i="31" l="1"/>
  <c r="B69" i="31" s="1"/>
  <c r="D69" i="31" s="1"/>
  <c r="B32" i="31"/>
  <c r="E23" i="62"/>
  <c r="B55" i="31" s="1"/>
  <c r="B29" i="31"/>
  <c r="B53" i="31"/>
  <c r="B64" i="31" s="1"/>
  <c r="D64" i="31" s="1"/>
  <c r="G15" i="17"/>
  <c r="B5" i="58" s="1"/>
  <c r="B66" i="31" l="1"/>
  <c r="D66" i="31" s="1"/>
  <c r="A14" i="58"/>
  <c r="A13" i="58"/>
  <c r="A12" i="58"/>
  <c r="A11" i="58"/>
  <c r="A10" i="58"/>
  <c r="A9" i="58"/>
  <c r="L51" i="46" l="1"/>
  <c r="L51" i="47"/>
  <c r="L51" i="48"/>
  <c r="U21" i="17"/>
  <c r="Y20" i="17"/>
  <c r="W20" i="17"/>
  <c r="U20" i="17"/>
  <c r="S20" i="17"/>
  <c r="Q20" i="17"/>
  <c r="O20" i="17"/>
  <c r="K20" i="17"/>
  <c r="X20" i="17"/>
  <c r="V20" i="17"/>
  <c r="T20" i="17"/>
  <c r="R20" i="17"/>
  <c r="P20" i="17"/>
  <c r="N20" i="17"/>
  <c r="M20" i="17"/>
  <c r="L20" i="17"/>
  <c r="J20" i="17"/>
  <c r="I20" i="17"/>
  <c r="H20" i="17"/>
  <c r="E22" i="17"/>
  <c r="X22" i="17"/>
  <c r="V22" i="17"/>
  <c r="T22" i="17"/>
  <c r="R22" i="17"/>
  <c r="P22" i="17"/>
  <c r="N22" i="17"/>
  <c r="L22" i="17"/>
  <c r="K22" i="17"/>
  <c r="Y22" i="17"/>
  <c r="W22" i="17"/>
  <c r="U22" i="17"/>
  <c r="S22" i="17"/>
  <c r="Q22" i="17"/>
  <c r="O22" i="17"/>
  <c r="M22" i="17"/>
  <c r="J22" i="17"/>
  <c r="I22" i="17"/>
  <c r="H22" i="17"/>
  <c r="Y24" i="17"/>
  <c r="W24" i="17"/>
  <c r="U24" i="17"/>
  <c r="S24" i="17"/>
  <c r="Q24" i="17"/>
  <c r="O24" i="17"/>
  <c r="M24" i="17"/>
  <c r="L24" i="17"/>
  <c r="K24" i="17"/>
  <c r="I24" i="17"/>
  <c r="X24" i="17"/>
  <c r="V24" i="17"/>
  <c r="T24" i="17"/>
  <c r="R24" i="17"/>
  <c r="P24" i="17"/>
  <c r="N24" i="17"/>
  <c r="J24" i="17"/>
  <c r="H24" i="17"/>
  <c r="Y19" i="17"/>
  <c r="W19" i="17"/>
  <c r="U19" i="17"/>
  <c r="S19" i="17"/>
  <c r="Q19" i="17"/>
  <c r="O19" i="17"/>
  <c r="M19" i="17"/>
  <c r="L19" i="17"/>
  <c r="J19" i="17"/>
  <c r="X19" i="17"/>
  <c r="V19" i="17"/>
  <c r="T19" i="17"/>
  <c r="R19" i="17"/>
  <c r="P19" i="17"/>
  <c r="N19" i="17"/>
  <c r="K19" i="17"/>
  <c r="H19" i="17"/>
  <c r="I19" i="17"/>
  <c r="X21" i="17"/>
  <c r="T21" i="17"/>
  <c r="R21" i="17"/>
  <c r="P21" i="17"/>
  <c r="N21" i="17"/>
  <c r="J21" i="17"/>
  <c r="S21" i="17"/>
  <c r="Q21" i="17"/>
  <c r="O21" i="17"/>
  <c r="L21" i="17"/>
  <c r="H21" i="17"/>
  <c r="Y23" i="17"/>
  <c r="W23" i="17"/>
  <c r="U23" i="17"/>
  <c r="S23" i="17"/>
  <c r="Q23" i="17"/>
  <c r="O23" i="17"/>
  <c r="M23" i="17"/>
  <c r="J23" i="17"/>
  <c r="X23" i="17"/>
  <c r="V23" i="17"/>
  <c r="T23" i="17"/>
  <c r="R23" i="17"/>
  <c r="P23" i="17"/>
  <c r="N23" i="17"/>
  <c r="L23" i="17"/>
  <c r="K23" i="17"/>
  <c r="I23" i="17"/>
  <c r="H23" i="17"/>
  <c r="K21" i="17"/>
  <c r="M21" i="17"/>
  <c r="I21" i="17"/>
  <c r="L51" i="50"/>
  <c r="E23" i="17"/>
  <c r="Y21" i="17" l="1"/>
  <c r="L51" i="49"/>
  <c r="V21" i="17"/>
  <c r="W21" i="17" l="1"/>
  <c r="A8" i="58" l="1"/>
  <c r="A7" i="58"/>
  <c r="A66" i="35"/>
  <c r="L47" i="33"/>
  <c r="H15" i="17" l="1"/>
  <c r="A5" i="58"/>
  <c r="Y17" i="17"/>
  <c r="W17" i="17"/>
  <c r="U17" i="17"/>
  <c r="S17" i="17"/>
  <c r="Q17" i="17"/>
  <c r="O17" i="17"/>
  <c r="M17" i="17"/>
  <c r="L17" i="17"/>
  <c r="J17" i="17"/>
  <c r="X17" i="17"/>
  <c r="V17" i="17"/>
  <c r="T17" i="17"/>
  <c r="R17" i="17"/>
  <c r="P17" i="17"/>
  <c r="N17" i="17"/>
  <c r="K17" i="17"/>
  <c r="H17" i="17"/>
  <c r="I17" i="17"/>
  <c r="S16" i="17"/>
  <c r="Q16" i="17"/>
  <c r="O16" i="17"/>
  <c r="K16" i="17"/>
  <c r="R16" i="17"/>
  <c r="P16" i="17"/>
  <c r="N16" i="17"/>
  <c r="M16" i="17"/>
  <c r="L16" i="17"/>
  <c r="J16" i="17"/>
  <c r="H16" i="17"/>
  <c r="S18" i="17"/>
  <c r="Q18" i="17"/>
  <c r="O18" i="17"/>
  <c r="K18" i="17"/>
  <c r="X18" i="17"/>
  <c r="R18" i="17"/>
  <c r="P18" i="17"/>
  <c r="N18" i="17"/>
  <c r="M18" i="17"/>
  <c r="L18" i="17"/>
  <c r="J18" i="17"/>
  <c r="H18" i="17"/>
  <c r="W18" i="17"/>
  <c r="I18" i="17"/>
  <c r="T16" i="17"/>
  <c r="E15" i="17"/>
  <c r="H14" i="17" l="1"/>
  <c r="H26" i="17" s="1"/>
  <c r="I16" i="17"/>
  <c r="L43" i="33"/>
  <c r="L51" i="36"/>
  <c r="L51" i="34"/>
  <c r="X16" i="17"/>
  <c r="U18" i="17"/>
  <c r="T18" i="17"/>
  <c r="V18" i="17"/>
  <c r="E16" i="17"/>
  <c r="E17" i="17" s="1"/>
  <c r="V16" i="17"/>
  <c r="Y18" i="17" l="1"/>
  <c r="L51" i="35"/>
  <c r="U16" i="17"/>
  <c r="L49" i="33"/>
  <c r="Y16" i="17"/>
  <c r="L51" i="33"/>
  <c r="E18" i="17"/>
  <c r="W16" i="17"/>
  <c r="E19" i="17" l="1"/>
  <c r="E20" i="17" s="1"/>
  <c r="E21" i="17" l="1"/>
  <c r="E24" i="17" s="1"/>
  <c r="L49" i="3"/>
  <c r="T15" i="17" l="1"/>
  <c r="T14" i="17" s="1"/>
  <c r="T26" i="17" s="1"/>
  <c r="L43" i="3" l="1"/>
  <c r="I15" i="17" l="1"/>
  <c r="I14" i="17" l="1"/>
  <c r="I26" i="17" s="1"/>
  <c r="B26" i="17" s="1"/>
  <c r="V15" i="17"/>
  <c r="V14" i="17" s="1"/>
  <c r="V26" i="17" s="1"/>
  <c r="D50" i="3" l="1"/>
  <c r="B48" i="3"/>
  <c r="P15" i="17"/>
  <c r="P14" i="17" s="1"/>
  <c r="P26" i="17" s="1"/>
  <c r="N15" i="17"/>
  <c r="N14" i="17" s="1"/>
  <c r="N26" i="17" s="1"/>
  <c r="L15" i="17"/>
  <c r="L14" i="17" s="1"/>
  <c r="L26" i="17" s="1"/>
  <c r="J15" i="17"/>
  <c r="J14" i="17" s="1"/>
  <c r="J26" i="17" s="1"/>
  <c r="W15" i="17" l="1"/>
  <c r="J47" i="63"/>
  <c r="R15" i="17"/>
  <c r="R14" i="17" s="1"/>
  <c r="R26" i="17" s="1"/>
  <c r="H29" i="63"/>
  <c r="H39" i="63" l="1"/>
  <c r="H42" i="63" s="1"/>
  <c r="D53" i="62" s="1"/>
  <c r="H40" i="63"/>
  <c r="K47" i="17" s="1"/>
  <c r="O47" i="17" s="1"/>
  <c r="J57" i="63"/>
  <c r="J58" i="63"/>
  <c r="M49" i="17" s="1"/>
  <c r="W14" i="17"/>
  <c r="W26" i="17" s="1"/>
  <c r="U15" i="17"/>
  <c r="U14" i="17" s="1"/>
  <c r="U26" i="17" s="1"/>
  <c r="D48" i="3"/>
  <c r="D46" i="3"/>
  <c r="F47" i="63" s="1"/>
  <c r="D45" i="3"/>
  <c r="E47" i="63" s="1"/>
  <c r="D44" i="3"/>
  <c r="K46" i="17" l="1"/>
  <c r="O46" i="17" s="1"/>
  <c r="A43" i="63" s="1"/>
  <c r="M48" i="17"/>
  <c r="J60" i="63"/>
  <c r="E55" i="62" s="1"/>
  <c r="K15" i="17"/>
  <c r="D47" i="63"/>
  <c r="O15" i="17"/>
  <c r="O14" i="17" s="1"/>
  <c r="O26" i="17" s="1"/>
  <c r="S15" i="17"/>
  <c r="S14" i="17" s="1"/>
  <c r="S26" i="17" s="1"/>
  <c r="H47" i="63"/>
  <c r="M15" i="17"/>
  <c r="Q15" i="17"/>
  <c r="Q14" i="17" s="1"/>
  <c r="Q26" i="17" s="1"/>
  <c r="L47" i="3"/>
  <c r="Y15" i="17"/>
  <c r="Y14" i="17" s="1"/>
  <c r="Y26" i="17" s="1"/>
  <c r="L51" i="3"/>
  <c r="X15" i="17"/>
  <c r="X14" i="17" s="1"/>
  <c r="X26" i="17" s="1"/>
  <c r="C28" i="62" l="1"/>
  <c r="E28" i="62" s="1"/>
  <c r="B60" i="31" s="1"/>
  <c r="B71" i="31" s="1"/>
  <c r="D71" i="31" s="1"/>
  <c r="F57" i="63"/>
  <c r="F58" i="63"/>
  <c r="I49" i="17" s="1"/>
  <c r="E57" i="63"/>
  <c r="E60" i="63" s="1"/>
  <c r="E50" i="62" s="1"/>
  <c r="E58" i="63"/>
  <c r="H49" i="17" s="1"/>
  <c r="H57" i="63"/>
  <c r="H58" i="63"/>
  <c r="K49" i="17" s="1"/>
  <c r="D57" i="63"/>
  <c r="D60" i="63" s="1"/>
  <c r="E49" i="62" s="1"/>
  <c r="D58" i="63"/>
  <c r="G49" i="17" s="1"/>
  <c r="M14" i="17"/>
  <c r="M26" i="17" s="1"/>
  <c r="K14" i="17"/>
  <c r="K26" i="17" s="1"/>
  <c r="K48" i="17" l="1"/>
  <c r="H60" i="63"/>
  <c r="E53" i="62" s="1"/>
  <c r="B30" i="31" s="1"/>
  <c r="I48" i="17"/>
  <c r="F60" i="63"/>
  <c r="E51" i="62" s="1"/>
  <c r="H48" i="17"/>
  <c r="G48" i="17"/>
  <c r="O49" i="17"/>
  <c r="C25" i="62" l="1"/>
  <c r="E25" i="62" s="1"/>
  <c r="B57" i="31" s="1"/>
  <c r="B68" i="31" s="1"/>
  <c r="D68" i="31" s="1"/>
  <c r="B31" i="31"/>
  <c r="O48" i="17"/>
  <c r="E77" i="17" s="1"/>
  <c r="C27" i="62"/>
  <c r="E27" i="62" s="1"/>
  <c r="B59" i="31" s="1"/>
  <c r="B70" i="31" s="1"/>
  <c r="D70" i="31" s="1"/>
  <c r="C24" i="62"/>
  <c r="E24" i="62" s="1"/>
  <c r="B56" i="31" s="1"/>
  <c r="B67" i="31" s="1"/>
  <c r="D67" i="31" s="1"/>
  <c r="C22" i="62"/>
  <c r="E22" i="62" s="1"/>
  <c r="B54" i="31" s="1"/>
  <c r="B65" i="31" s="1"/>
  <c r="D65" i="31" s="1"/>
  <c r="D16" i="58"/>
  <c r="C16" i="58"/>
  <c r="C17" i="58" s="1"/>
  <c r="J16" i="58"/>
  <c r="F16" i="58"/>
  <c r="I16" i="58"/>
  <c r="E16" i="58"/>
  <c r="G16" i="58"/>
  <c r="A61" i="63" l="1"/>
  <c r="D27" i="62"/>
  <c r="G17" i="58"/>
  <c r="F17" i="58"/>
  <c r="D46" i="31" s="1"/>
  <c r="I46" i="31" s="1"/>
  <c r="D21" i="62"/>
  <c r="E17" i="58"/>
  <c r="D45" i="31" s="1"/>
  <c r="I45" i="31" s="1"/>
  <c r="I17" i="58"/>
  <c r="J17" i="58"/>
  <c r="D17" i="58"/>
  <c r="D43" i="31" s="1"/>
  <c r="I43" i="31" s="1"/>
  <c r="D22" i="31"/>
  <c r="I22" i="31" s="1"/>
  <c r="D23" i="31"/>
  <c r="I23" i="31" s="1"/>
  <c r="D24" i="31"/>
  <c r="I24" i="31" s="1"/>
  <c r="D25" i="31"/>
  <c r="I25" i="31" s="1"/>
  <c r="D42" i="31"/>
  <c r="I42" i="31" s="1"/>
  <c r="I32" i="31" l="1"/>
  <c r="J32" i="31" s="1"/>
  <c r="D32" i="31" s="1"/>
  <c r="G32" i="31"/>
  <c r="D28" i="62"/>
  <c r="D49" i="31"/>
  <c r="I49" i="31" s="1"/>
  <c r="D23" i="62"/>
  <c r="D44" i="31"/>
  <c r="I44" i="31" s="1"/>
  <c r="D26" i="62"/>
  <c r="D47" i="31"/>
  <c r="I47" i="31" s="1"/>
  <c r="D24" i="62"/>
  <c r="D22" i="62"/>
  <c r="D25" i="62"/>
  <c r="I26" i="31"/>
  <c r="I31" i="31"/>
  <c r="J31" i="31" s="1"/>
  <c r="D31" i="31" s="1"/>
  <c r="G31" i="31"/>
  <c r="I30" i="31"/>
  <c r="J30" i="31" s="1"/>
  <c r="D30" i="31" s="1"/>
  <c r="G30" i="31"/>
  <c r="I29" i="31"/>
  <c r="J29" i="31" s="1"/>
  <c r="D29" i="31" s="1"/>
  <c r="G29" i="31"/>
  <c r="K32" i="31" l="1"/>
  <c r="C32" i="31"/>
  <c r="G32" i="62"/>
  <c r="I50" i="31"/>
  <c r="A26" i="31"/>
  <c r="A27" i="31"/>
  <c r="K29" i="31"/>
  <c r="K31" i="31"/>
  <c r="C30" i="31"/>
  <c r="K30" i="31"/>
  <c r="C31" i="31"/>
  <c r="C29" i="31"/>
  <c r="G59" i="31" l="1"/>
  <c r="G55" i="31"/>
  <c r="K33" i="31"/>
  <c r="A33" i="31" s="1"/>
  <c r="I59" i="31"/>
  <c r="D59" i="31" s="1"/>
  <c r="A50" i="31"/>
  <c r="G57" i="31"/>
  <c r="A51" i="31"/>
  <c r="I57" i="31"/>
  <c r="D57" i="31" s="1"/>
  <c r="I53" i="31"/>
  <c r="D53" i="31" s="1"/>
  <c r="I56" i="31"/>
  <c r="D56" i="31" s="1"/>
  <c r="J56" i="31" s="1"/>
  <c r="L56" i="31" s="1"/>
  <c r="I55" i="31"/>
  <c r="D55" i="31" s="1"/>
  <c r="I58" i="31"/>
  <c r="D58" i="31" s="1"/>
  <c r="J58" i="31" s="1"/>
  <c r="L58" i="31" s="1"/>
  <c r="I54" i="31"/>
  <c r="D54" i="31" s="1"/>
  <c r="C59" i="31"/>
  <c r="I60" i="31"/>
  <c r="D60" i="31" s="1"/>
  <c r="J60" i="31" s="1"/>
  <c r="L60" i="31" s="1"/>
  <c r="I9" i="24"/>
  <c r="J55" i="31" l="1"/>
  <c r="L55" i="31" s="1"/>
  <c r="K55" i="31"/>
  <c r="J54" i="31"/>
  <c r="L54" i="31" s="1"/>
  <c r="J57" i="31"/>
  <c r="J59" i="31"/>
  <c r="J53" i="31"/>
  <c r="L53" i="31" s="1"/>
  <c r="C53" i="31"/>
  <c r="C57" i="31"/>
  <c r="C54" i="31"/>
  <c r="C58" i="31"/>
  <c r="C60" i="31"/>
  <c r="C56" i="31"/>
  <c r="C55" i="31"/>
  <c r="H33" i="31"/>
  <c r="K57" i="31" l="1"/>
  <c r="L57" i="31"/>
  <c r="K59" i="31"/>
  <c r="L59" i="31"/>
  <c r="J61" i="31"/>
  <c r="G41" i="62"/>
  <c r="K61" i="31" l="1"/>
  <c r="L61" i="31"/>
  <c r="H41" i="62"/>
  <c r="I41" i="62" s="1"/>
  <c r="C41" i="62" s="1"/>
  <c r="J41" i="62"/>
  <c r="G66" i="24"/>
  <c r="G67" i="24" s="1"/>
  <c r="G68" i="24" s="1"/>
  <c r="I69" i="24"/>
  <c r="A61" i="31" l="1"/>
  <c r="H61" i="31" s="1"/>
  <c r="G62" i="31" l="1"/>
  <c r="G70" i="31" s="1"/>
  <c r="J70" i="31" s="1"/>
  <c r="G71" i="31" l="1"/>
  <c r="J71" i="31" s="1"/>
  <c r="G69" i="31"/>
  <c r="J69" i="31" s="1"/>
  <c r="G64" i="31"/>
  <c r="J64" i="31" s="1"/>
  <c r="G63" i="31"/>
  <c r="G67" i="31"/>
  <c r="J67" i="31" s="1"/>
  <c r="G65" i="31"/>
  <c r="J65" i="31" s="1"/>
  <c r="G68" i="31"/>
  <c r="J68" i="31" s="1"/>
  <c r="G72" i="31"/>
  <c r="G66" i="31"/>
  <c r="J66" i="31" s="1"/>
  <c r="J72" i="31" l="1"/>
  <c r="A72" i="31" s="1"/>
  <c r="H72" i="31" s="1"/>
  <c r="G40" i="62"/>
  <c r="J40" i="62" l="1"/>
  <c r="H40" i="62"/>
  <c r="C40" i="62" s="1"/>
</calcChain>
</file>

<file path=xl/sharedStrings.xml><?xml version="1.0" encoding="utf-8"?>
<sst xmlns="http://schemas.openxmlformats.org/spreadsheetml/2006/main" count="2944" uniqueCount="1107">
  <si>
    <t>Readily Available Permit: Engine Power Generation (RAP: PowerEngine)</t>
  </si>
  <si>
    <t>Air Permits Division</t>
  </si>
  <si>
    <t>Texas Commission on Environmental Quality</t>
  </si>
  <si>
    <t>This sheet is for informational purposes only. No data is required and you do not need to print this sheet. This sheet provides guidance on the RAP: PowerEngine criteria and instructions for preparing and submitting an application.</t>
  </si>
  <si>
    <t/>
  </si>
  <si>
    <t>I. Overview</t>
  </si>
  <si>
    <t>II. Qualification Criteria</t>
  </si>
  <si>
    <t>III. Process Instructions</t>
  </si>
  <si>
    <t>IV. Workbook Instructions</t>
  </si>
  <si>
    <t>V. Website Links:</t>
  </si>
  <si>
    <t>Combustion BACT</t>
  </si>
  <si>
    <t>https://www.tceq.texas.gov/permitting/air/nav/air_bact_combustsources.html</t>
  </si>
  <si>
    <t>STEERS</t>
  </si>
  <si>
    <t>https://www3.tceq.texas.gov/steers/</t>
  </si>
  <si>
    <t>FTPS Information</t>
  </si>
  <si>
    <t>https://ftps.tceq.texas.gov/help/</t>
  </si>
  <si>
    <t>Core Data Form</t>
  </si>
  <si>
    <t>www.tceq.texas.gov/permitting/central_registry/guidance.html</t>
  </si>
  <si>
    <t>Compliance history classifications</t>
  </si>
  <si>
    <t>www.tceq.texas.gov/compliance/enforcement/compliance-history/about.html</t>
  </si>
  <si>
    <t>Compliance history report</t>
  </si>
  <si>
    <t>www.tceq.texas.gov/compliance/enforcement/compliance-history/get_report.html</t>
  </si>
  <si>
    <t>Local Air Pollution Control Programs</t>
  </si>
  <si>
    <t>www.tceq.texas.gov/permitting/air/local_programs.html</t>
  </si>
  <si>
    <t>Texas Government Code 559</t>
  </si>
  <si>
    <t>https://statutes.capitol.texas.gov/Docs/GV/htm/GV.559.htm#559.003</t>
  </si>
  <si>
    <t>TCEQ Regional Offices</t>
  </si>
  <si>
    <t>www.tceq.texas.gov/agency/directory/region</t>
  </si>
  <si>
    <t>VI. Where to Submit Application Materials</t>
  </si>
  <si>
    <t>Who</t>
  </si>
  <si>
    <t>Where</t>
  </si>
  <si>
    <t>When</t>
  </si>
  <si>
    <t>What</t>
  </si>
  <si>
    <t>Air Permits Division Air Permits Initial Review Team (APIRT)</t>
  </si>
  <si>
    <t>STEERS (link above)</t>
  </si>
  <si>
    <t>All applications</t>
  </si>
  <si>
    <t>Application workbook (this file) and application attachments.</t>
  </si>
  <si>
    <t>Financial Administrative Division Revenue Operations Section</t>
  </si>
  <si>
    <t>Regular, Certified, Priority Mail
MC 214, P.O. Box 13088, Austin, Texas 78711-3088
or
Hand Delivery, Overnight Mail
Mail Code 214, 12100 Park 35 Circle, Building A, Third Floor, Austin, Texas 78753
Note: The official application cannot be faxed</t>
  </si>
  <si>
    <t>All applications not using ePay</t>
  </si>
  <si>
    <t>Fee, copy of the PI-1-PowerEngine sheet, and Core Data Form (link above)</t>
  </si>
  <si>
    <t>Alabama-Coushatta Tribe of Texas</t>
  </si>
  <si>
    <t>571 State Park Road 56, 
Livingston, Texas 77351</t>
  </si>
  <si>
    <t>If the proposed facilities are located within 100 km or less of the Indian Tribal Lands</t>
  </si>
  <si>
    <t>Copies of the PI-1-PowerEngine sheet, all attachments, public notice, and affidavit</t>
  </si>
  <si>
    <t>Kickapoo Traditional Tribe of Texas</t>
  </si>
  <si>
    <t>Box HC 1, 9700, 
Eagle Pass, Texas 78852</t>
  </si>
  <si>
    <t>Ysleta del Sur Pueblo of Texas</t>
  </si>
  <si>
    <t>119 S. Old Pueblo Rd., 
El Paso, Texas 79907</t>
  </si>
  <si>
    <t>EMD Division Chief International Boundary and Water Commission United States Section</t>
  </si>
  <si>
    <t>4171 N. Mesa, Suite C-100, 
El Paso, Texas 79902-1441</t>
  </si>
  <si>
    <t>If new construction is proposed within 100 km of the Rio Grande River</t>
  </si>
  <si>
    <t>Copies of the PI-1-PowerEngine sheet and all attachments</t>
  </si>
  <si>
    <t>VII. Workbook Table of Contents (click to jump to the sheet)</t>
  </si>
  <si>
    <t>Instructions</t>
  </si>
  <si>
    <t>General application materials</t>
  </si>
  <si>
    <t>Specific source information (sheets not needed for this project will be greyed out)</t>
  </si>
  <si>
    <t>Additional application materials</t>
  </si>
  <si>
    <t>End of sheet. Click here to move to the next sheet.</t>
  </si>
  <si>
    <t>PI-1-PowerEngine</t>
  </si>
  <si>
    <t>Applicant Internal Comments</t>
  </si>
  <si>
    <t>GRAY CF</t>
  </si>
  <si>
    <t>RED CF</t>
  </si>
  <si>
    <t>All comments must be deleted prior to application submittal.</t>
  </si>
  <si>
    <t>I. Applicant Information</t>
  </si>
  <si>
    <t>I acknowledge that I am submitting an authorized TCEQ application workbook and any necessary attachments. Except for inputting the requested data and adjusting row height, I have not changed the TCEQ application workbook in any way, including but not limited to changing formulas, formatting, content, or protections.</t>
  </si>
  <si>
    <t>A. Company Information</t>
  </si>
  <si>
    <t>Company or Legal Name:</t>
  </si>
  <si>
    <t>Permits are issued to either the facility owner or operator, commonly referred to as the applicant or permit holder. List the legal name of the company, corporation, partnership, or person who is applying for the permit. We will verify the legal name with the Texas Secretary of State at (512) 463-5555 or at the link below:</t>
  </si>
  <si>
    <t>www.sos.state.tx.us</t>
  </si>
  <si>
    <t>Texas Secretary of State Charter/Registration Number (if given):</t>
  </si>
  <si>
    <r>
      <t xml:space="preserve">B. Company Official Contact Information: </t>
    </r>
    <r>
      <rPr>
        <sz val="11"/>
        <color theme="1"/>
        <rFont val="Arial"/>
        <family val="2"/>
      </rPr>
      <t>must not be a consultant</t>
    </r>
  </si>
  <si>
    <t>Requested Information</t>
  </si>
  <si>
    <t>Response</t>
  </si>
  <si>
    <t>Prefix (Mr, Ms, Dr, etc.):</t>
  </si>
  <si>
    <t>First Name:</t>
  </si>
  <si>
    <t>Last Name:</t>
  </si>
  <si>
    <t>Title:</t>
  </si>
  <si>
    <t>Mailing Address:</t>
  </si>
  <si>
    <t>Address Line 2:</t>
  </si>
  <si>
    <t>City:</t>
  </si>
  <si>
    <t>State:</t>
  </si>
  <si>
    <t>ZIP Code:</t>
  </si>
  <si>
    <t>Telephone Number:</t>
  </si>
  <si>
    <t>Fax Number:</t>
  </si>
  <si>
    <t>Email Address:</t>
  </si>
  <si>
    <r>
      <t xml:space="preserve">C. Technical Contact Information: </t>
    </r>
    <r>
      <rPr>
        <sz val="11"/>
        <color theme="1"/>
        <rFont val="Arial"/>
        <family val="2"/>
      </rPr>
      <t>This person must have the authority to make binding agreements and representations on behalf of the applicant and may be a consultant.</t>
    </r>
  </si>
  <si>
    <t xml:space="preserve">D. Assigned Numbers </t>
  </si>
  <si>
    <t>Customer Number (CN): The CN is a unique number given to each business, governmental body, association, individual, or other entity that owns, operates, is responsible for, or is affiliated with a regulated entity. If not yet assigned, leave blank.</t>
  </si>
  <si>
    <t>Regulated Entity Reference Number (RN): The RN is a unique agency assigned number given to each person, organization, place, or thing that is of environmental interest to us and where regulated activities will occur. The RN replaces existing air account numbers. The RN is also assigned if the agency has conducted an investigation or if the agency has issued an enforcement action. If not yet assigned, leave blank.</t>
  </si>
  <si>
    <t>Is this facility located at a site required to obtain a federal operating permit (FOP)?</t>
  </si>
  <si>
    <t>If Yes, list all associated FOP number(s). If no associated permit number has been assigned yet, enter "TBD."</t>
  </si>
  <si>
    <t>II. Facility Location and General Information</t>
  </si>
  <si>
    <t>A. Location</t>
  </si>
  <si>
    <t xml:space="preserve">County: Enter the county where the facility will be physically located. </t>
  </si>
  <si>
    <t>Navarro</t>
  </si>
  <si>
    <t>Street Address:</t>
  </si>
  <si>
    <t>City: If the address is not located in a city, then enter the city or town closest to the facility, even if it is not in the same county as the facility.</t>
  </si>
  <si>
    <t xml:space="preserve">ZIP Code: Include the ZIP Code of the physical facility site, not the ZIP Code of the applicant's mailing address. </t>
  </si>
  <si>
    <t>Site Location Description: If there is no street address, provide written driving directions to the site. Identify the location by distance and direction from well-known landmarks such as major highway intersections.</t>
  </si>
  <si>
    <t>B. General Information</t>
  </si>
  <si>
    <t>Site Name:</t>
  </si>
  <si>
    <t>Area Name: Must indicate the general type of operation, process, equipment or facility. Include numerical designations, if appropriate. Examples are Sulfuric Acid Plant and No. 5 Steam Boiler. Vague names such as Chemical Plant are not acceptable.</t>
  </si>
  <si>
    <t>Are there any schools located within 3,000 feet of the site boundary?</t>
  </si>
  <si>
    <t>C. Industry Type</t>
  </si>
  <si>
    <t>Principal Company Product/Business:</t>
  </si>
  <si>
    <t>A list of SIC codes can be found at the link below:</t>
  </si>
  <si>
    <t>www.osha.gov/pls/imis/sicsearch.html</t>
  </si>
  <si>
    <t>Principal SIC code:</t>
  </si>
  <si>
    <t>NAICS codes and conversions between NAICS and SIC Codes are available at the link below:</t>
  </si>
  <si>
    <t>https://www.census.gov/naics/</t>
  </si>
  <si>
    <t>Principal NAICS code:</t>
  </si>
  <si>
    <t>D. State Senator and Representative for this site</t>
  </si>
  <si>
    <t>This information can be found at the link below:</t>
  </si>
  <si>
    <t>https://wrm.capitol.texas.gov/home</t>
  </si>
  <si>
    <t>State Senator:</t>
  </si>
  <si>
    <t>District:</t>
  </si>
  <si>
    <t>State Representative:</t>
  </si>
  <si>
    <t>III. Project Information</t>
  </si>
  <si>
    <t>A. Description</t>
  </si>
  <si>
    <t>Is this an application for a new minor permit?</t>
  </si>
  <si>
    <t>How many engines are included in this application?</t>
  </si>
  <si>
    <t>How many diesel tanks are included in this application?</t>
  </si>
  <si>
    <t>Revise the provided process description to represent your project and site specifics. (Limited to 5000 characters.)</t>
  </si>
  <si>
    <r>
      <rPr>
        <b/>
        <sz val="11"/>
        <color theme="1"/>
        <rFont val="Arial"/>
        <family val="2"/>
      </rPr>
      <t xml:space="preserve">B. Project Timing
</t>
    </r>
    <r>
      <rPr>
        <sz val="11"/>
        <color theme="1"/>
        <rFont val="Arial"/>
        <family val="2"/>
      </rPr>
      <t>You must obtain an air authorization before beginning construction. Construction is broadly interpreted as anything other than site clearance or site preparation. Enter the date as "Month Date, Year" (e.g. July 4, 1776).</t>
    </r>
  </si>
  <si>
    <t>Projected Start of Construction:</t>
  </si>
  <si>
    <t>Projected Start of Operation:</t>
  </si>
  <si>
    <t>C. Enforcement Projects</t>
  </si>
  <si>
    <t>Is this application in response to, or related to, an agency investigation, notice of violation, or enforcement action?</t>
  </si>
  <si>
    <t>If yes, did you attach copies of any correspondence from the agency and provide the RN associated with the investigation, notice of violation, or enforcement action?</t>
  </si>
  <si>
    <t>D. Operating Schedule</t>
  </si>
  <si>
    <t>Provide details about the engine(s) operating schedule. Note: The engines are limited to a combined total of 300 hours of operation per rolling 12 month permit. This limit applies collectively to all engines at the site which are authorized by any RAP: PowerEngine permit action.</t>
  </si>
  <si>
    <t>IV. State Regulatory Questions</t>
  </si>
  <si>
    <t>Indicate if any of the following requirements apply to the proposed facility and demonstrate that the proposed facility can, or is, complying with the applicable requirements. Briefly (500 characters or fewer) demonstrate how compliance with each of the applicable requirements can be met. Additional pages may be attached, if necessary.</t>
  </si>
  <si>
    <t>A. 30 TAC Chapter 101 - General Air Rules</t>
  </si>
  <si>
    <t>Will the facility protect public health/welfare and comply with all rules/regulations of the TCEQ?</t>
  </si>
  <si>
    <t>How will this facility comply with the requirements of this chapter?</t>
  </si>
  <si>
    <t>B. 30 TAC Chapter 111 - Visible Emissions and Particulate Matter</t>
  </si>
  <si>
    <t>Does 30 TAC Chapter 111 apply to this facility?</t>
  </si>
  <si>
    <t>If applicable, how will this facility comply with the requirements of this chapter?</t>
  </si>
  <si>
    <t>C. 30 TAC Chapter 112 - Sulfur Compounds</t>
  </si>
  <si>
    <t>Does 30 TAC Chapter 112 apply to this facility?</t>
  </si>
  <si>
    <t>D. 30 TAC Chapter 113 - Toxic Materials</t>
  </si>
  <si>
    <t>Does 30 TAC Chapter 113 apply to this facility?</t>
  </si>
  <si>
    <t>E. 30 TAC Chapter 115 - Volatile Organic Compounds</t>
  </si>
  <si>
    <t>Does 30 TAC Chapter 115 apply to this facility?</t>
  </si>
  <si>
    <t>F. 30 TAC Chapter 117 - Nitrogen Compounds</t>
  </si>
  <si>
    <t>Does 30 TAC Chapter 117 apply to this facility?</t>
  </si>
  <si>
    <t>V. Required Attachments</t>
  </si>
  <si>
    <t>A. Confidential Application Materials</t>
  </si>
  <si>
    <t>Is confidential information submitted with this application?</t>
  </si>
  <si>
    <t>www.tceq.texas.gov/permitting/air/confidential.html</t>
  </si>
  <si>
    <t>B. Is a current area map attached?</t>
  </si>
  <si>
    <t>Is the area map current with a true north arrow, an accurate scale, the entire plant property, the location of the property relative to prominent geographical features including, but not limited to, highways, roads, streams, and significant landmarks such as buildings, residences, schools, parks, hospitals, day care centers, and churches?</t>
  </si>
  <si>
    <t>Does the map show a 3,000-foot radius from the property boundary?</t>
  </si>
  <si>
    <t>C. Is a plot plan attached?</t>
  </si>
  <si>
    <t>Does your plot plan clearly show a north arrow, an accurate scale, all property lines, all emission points, buildings, tanks, process vessels, other process equipment, and two bench mark locations?</t>
  </si>
  <si>
    <t>Does your plot plan identify all emission points on the affected property, including all emission points authorized by other air authorizations, construction permits, PBRs, special permits, and standard permits?</t>
  </si>
  <si>
    <t>Did you include a table of emission points indicating the authorization type and authorization identifier, such as a permit number, registration number, or rule citation under which each emission point is currently authorized?</t>
  </si>
  <si>
    <t>VI. Delinquent Fees and Penalties</t>
  </si>
  <si>
    <t>Does the applicant have unpaid delinquent fees and/or penalties owed to the TCEQ?</t>
  </si>
  <si>
    <t>This form will not be processed until all delinquent fees and/or penalties owed to the TCEQ or the Office of the Attorney General on behalf of the TCEQ is paid in accordance with the Delinquent Fee and Penalty Protocol. For more information regarding Delinquent Fees and Penalties, go to the TCEQ Web site at the link below:</t>
  </si>
  <si>
    <t>www.tceq.texas.gov/agency/financial/fees/delin</t>
  </si>
  <si>
    <t>Estimated Capital Cost and Fee Verification</t>
  </si>
  <si>
    <r>
      <t>This sheet determines application fee requirements for projects which require a fee.</t>
    </r>
    <r>
      <rPr>
        <b/>
        <sz val="11"/>
        <color theme="1"/>
        <rFont val="Arial"/>
        <family val="2"/>
      </rPr>
      <t xml:space="preserve">
</t>
    </r>
    <r>
      <rPr>
        <sz val="11"/>
        <color theme="1"/>
        <rFont val="Arial"/>
        <family val="2"/>
      </rPr>
      <t>Fees are due and payable at the time an application is filed. Required fees must be received before the agency will consider an application to be complete. Applications will not be considered for review nor will any time constraints required of TCEQ for application processing begin until a fee is received. (30 TAC § 116.143)
All permit review fees shall be remitted by check, certified check, electronic funds transfer, or money order payable to the Texas Commission on Environmental Quality (TCEQ) and mailed to the TCEQ, P.O. Box 13088, MC 214, Austin, Texas 78711-3088. The State Treasury will not accept checks drawn on foreign banks. Instructions for online payment through the ePay system can be found at the link below:</t>
    </r>
  </si>
  <si>
    <t>https://www3.tceq.texas.gov/epay/</t>
  </si>
  <si>
    <r>
      <rPr>
        <b/>
        <sz val="11"/>
        <color theme="1"/>
        <rFont val="Arial"/>
        <family val="2"/>
      </rPr>
      <t>Instructions:</t>
    </r>
    <r>
      <rPr>
        <sz val="11"/>
        <color theme="1"/>
        <rFont val="Arial"/>
        <family val="2"/>
      </rPr>
      <t xml:space="preserve">
1. Answer each of the questions in Section I.
2. Enter the amount of each cost in the associated box. Include estimated cost of equipment and services that would normally be capitalized according to standard and generally accepted corporate financing and accounting procedures.
3. Enter payment information.
4. If applicable, submit the application under the seal of a Texas Licensed P.E.</t>
    </r>
  </si>
  <si>
    <t>I. General Information</t>
  </si>
  <si>
    <t>A fee of $75,000 shall be required if no estimate of capital project cost is included with the permit application. (30 TAC § 116.141(d)) Select "yes" here to use this option. Then skip sections II and III.</t>
  </si>
  <si>
    <t>Select Application Type</t>
  </si>
  <si>
    <t>II. Direct Costs</t>
  </si>
  <si>
    <t>Type of Cost</t>
  </si>
  <si>
    <t>Amount</t>
  </si>
  <si>
    <t>Process and control equipment not previously owned by the applicant and not currently authorized under this chapter.</t>
  </si>
  <si>
    <t>Auxiliary equipment, including exhaust hoods, ducting, fans, pumps, piping, conveyors, stacks, storage tanks, waste disposal facilities, and air pollution control equipment specifically needed to meet permit and regulation requirements.</t>
  </si>
  <si>
    <t>Freight charges.</t>
  </si>
  <si>
    <t>Site preparation, including demolition, construction of fences, outdoor lighting, road, and parking areas.</t>
  </si>
  <si>
    <t>Installation, including foundations, erection of supporting structures, enclosures or weather protection, insulation and painting, utilities and connections, process integration, and process control equipment.</t>
  </si>
  <si>
    <t>Auxiliary buildings, including materials storage, employee facilities, and changes to existing structures.</t>
  </si>
  <si>
    <t>Ambient air monitoring network.</t>
  </si>
  <si>
    <t>Sub-Total:</t>
  </si>
  <si>
    <t>III. Indirect Costs</t>
  </si>
  <si>
    <t>Final engineering design and supervision, and administrative overhead.</t>
  </si>
  <si>
    <t>Construction expense, including construction liaison, securing local building permits, insurance, temporary construction facilities, and construction clean-up.</t>
  </si>
  <si>
    <t>Contractor's fee and overhead.</t>
  </si>
  <si>
    <t>IV. Calculations</t>
  </si>
  <si>
    <t>In signing the application during STEERS submittal, I certify that the total estimated capital cost of the project as defined in 30 TAC §116.141 is equal to or less than the above figure. I further state that I have read and understand Texas Water Code § 7.179, which defines Criminal Offenses for certain violations, including intentionally or knowingly making, or causing to be made, false material statements or representations.</t>
  </si>
  <si>
    <t>Estimated Capital Cost</t>
  </si>
  <si>
    <t>Minor Application Fee</t>
  </si>
  <si>
    <t>Less than $300,000</t>
  </si>
  <si>
    <t>$900 (minimum fee)</t>
  </si>
  <si>
    <t>$300,000 - $25,000,000</t>
  </si>
  <si>
    <t>0.30% of capital cost</t>
  </si>
  <si>
    <t>Greater than $25,000,000</t>
  </si>
  <si>
    <t>$75,000 (maximum fee)</t>
  </si>
  <si>
    <t>Your estimated capital cost:</t>
  </si>
  <si>
    <t>If a fee exemption or reduction applies, describe how this facility qualifies for an exemption or reduction. Include the actual fee amount.</t>
  </si>
  <si>
    <t>V. Payment Information</t>
  </si>
  <si>
    <t>Was the fee paid online?</t>
  </si>
  <si>
    <t>Enter the fee amount:</t>
  </si>
  <si>
    <t>Enter the check, money order, ePay Voucher, or other transaction number:</t>
  </si>
  <si>
    <t>Enter the Company name as it appears on the check:</t>
  </si>
  <si>
    <t>VI. Professional Engineer Seal Requirement</t>
  </si>
  <si>
    <t>Is the estimated capital cost of the project above $2 million?</t>
  </si>
  <si>
    <r>
      <t xml:space="preserve">Is this project subject to an exemption contained in the Texas Engineering Practice Act (TEPA)? (30 TAC </t>
    </r>
    <r>
      <rPr>
        <sz val="11"/>
        <color theme="1"/>
        <rFont val="Calibri"/>
        <family val="2"/>
      </rPr>
      <t>§</t>
    </r>
    <r>
      <rPr>
        <sz val="11"/>
        <color theme="1"/>
        <rFont val="Arial"/>
        <family val="2"/>
      </rPr>
      <t xml:space="preserve"> 116.110(f))</t>
    </r>
  </si>
  <si>
    <t>Is the application required to be submitted under the seal of a Texas licensed P.E.?
Note: an electronic PE seal is acceptable.</t>
  </si>
  <si>
    <r>
      <t xml:space="preserve">This sheet provides an example process flow diagram, that can be updated with the applicable information for this project. Alternatively, applicants can provide their own process flow diagrams attached with their application. 
A process flow diagram is required for all projects. It should identify raw materials to be used in the process, all major processing steps and major equipment items, individual emission points associated with each process step, the location and identification of all emission abatement devices, and the location and identification of all waste streams (including wastewater streams that may have associated air emissions).
</t>
    </r>
    <r>
      <rPr>
        <b/>
        <sz val="11"/>
        <color theme="1"/>
        <rFont val="Arial"/>
        <family val="2"/>
      </rPr>
      <t>Instructions:</t>
    </r>
    <r>
      <rPr>
        <sz val="11"/>
        <color theme="1"/>
        <rFont val="Arial"/>
        <family val="2"/>
      </rPr>
      <t xml:space="preserve">
1. Review the process flow diagram below.
2. Update as necessary to make it representative of your project.
3. If needed, you may delete this example and provide an attached diagram with your application.</t>
    </r>
  </si>
  <si>
    <r>
      <t xml:space="preserve">↑
</t>
    </r>
    <r>
      <rPr>
        <sz val="11"/>
        <color rgb="FFFFFFCC"/>
        <rFont val="Arial"/>
        <family val="2"/>
      </rPr>
      <t>up arrow</t>
    </r>
  </si>
  <si>
    <t>Diesel fuel from truck</t>
  </si>
  <si>
    <r>
      <t xml:space="preserve">→
</t>
    </r>
    <r>
      <rPr>
        <sz val="11"/>
        <color rgb="FFFFFFCC"/>
        <rFont val="Arial"/>
        <family val="2"/>
      </rPr>
      <t>right arrow</t>
    </r>
  </si>
  <si>
    <t>FIN: TANK1 to TANK10</t>
  </si>
  <si>
    <t>Fuel flow</t>
  </si>
  <si>
    <t>FIN: ENGINE1 to ENGINE10</t>
  </si>
  <si>
    <t>Electricity</t>
  </si>
  <si>
    <t>Engine 1</t>
  </si>
  <si>
    <r>
      <t xml:space="preserve">This sheet details engine specifications and calculates emission rates.
</t>
    </r>
    <r>
      <rPr>
        <b/>
        <sz val="11"/>
        <color theme="1"/>
        <rFont val="Arial"/>
        <family val="2"/>
      </rPr>
      <t xml:space="preserve">Instructions:
</t>
    </r>
    <r>
      <rPr>
        <sz val="11"/>
        <color theme="1"/>
        <rFont val="Arial"/>
        <family val="2"/>
      </rPr>
      <t>1. Complete all information below.</t>
    </r>
  </si>
  <si>
    <t>FIN</t>
  </si>
  <si>
    <t>Source Name</t>
  </si>
  <si>
    <t>UTM Zone</t>
  </si>
  <si>
    <t>UTM Coordinate - Easting (meters)</t>
  </si>
  <si>
    <t>UTM Coordinate - Northing (meters)</t>
  </si>
  <si>
    <t>II. Input Parameters and Factors</t>
  </si>
  <si>
    <t>Parameter</t>
  </si>
  <si>
    <t>Value</t>
  </si>
  <si>
    <t>Minimum</t>
  </si>
  <si>
    <t>Maximum</t>
  </si>
  <si>
    <t>Release height (ft)</t>
  </si>
  <si>
    <t>Diameter (ft)</t>
  </si>
  <si>
    <t>Temperature (°F)</t>
  </si>
  <si>
    <t>Velocity (fps)</t>
  </si>
  <si>
    <t>Rated brake power of this engine (hp)</t>
  </si>
  <si>
    <t>Fuel consumption rate (gal diesel/hp-hr)</t>
  </si>
  <si>
    <t>Diesel sulfur content (ppmw)</t>
  </si>
  <si>
    <t>Is there a selective catalytic reduction (SCR) system for this engine?</t>
  </si>
  <si>
    <t>Is there an oxidation catalyst?</t>
  </si>
  <si>
    <t>Is there a diesel filter?</t>
  </si>
  <si>
    <t>Ammonia exhaust concentration (ppm)</t>
  </si>
  <si>
    <t>Annual operating schedule (hr/yr)</t>
  </si>
  <si>
    <r>
      <t>Exhaust gas flow rate (scf/min at 60</t>
    </r>
    <r>
      <rPr>
        <sz val="11"/>
        <color theme="1"/>
        <rFont val="Calibri"/>
        <family val="2"/>
      </rPr>
      <t>⁰</t>
    </r>
    <r>
      <rPr>
        <sz val="11"/>
        <color theme="1"/>
        <rFont val="Arial"/>
        <family val="2"/>
      </rPr>
      <t>F)</t>
    </r>
  </si>
  <si>
    <t>III. Emission Factors</t>
  </si>
  <si>
    <t>Pollutant</t>
  </si>
  <si>
    <t xml:space="preserve">Emission Factor </t>
  </si>
  <si>
    <t>EF Unit</t>
  </si>
  <si>
    <t>Source of Emission Factor</t>
  </si>
  <si>
    <t>Limitations and Other Notes</t>
  </si>
  <si>
    <r>
      <t>NO</t>
    </r>
    <r>
      <rPr>
        <sz val="8"/>
        <color theme="1"/>
        <rFont val="Arial"/>
        <family val="2"/>
      </rPr>
      <t>x</t>
    </r>
  </si>
  <si>
    <t>g/hp-hr</t>
  </si>
  <si>
    <t>CO</t>
  </si>
  <si>
    <t>PM</t>
  </si>
  <si>
    <r>
      <t>PM</t>
    </r>
    <r>
      <rPr>
        <sz val="8"/>
        <color theme="1"/>
        <rFont val="Arial"/>
        <family val="2"/>
      </rPr>
      <t>10</t>
    </r>
  </si>
  <si>
    <r>
      <t>PM</t>
    </r>
    <r>
      <rPr>
        <sz val="8"/>
        <color theme="1"/>
        <rFont val="Arial"/>
        <family val="2"/>
      </rPr>
      <t>2.5</t>
    </r>
  </si>
  <si>
    <t>VOC</t>
  </si>
  <si>
    <r>
      <t>SO</t>
    </r>
    <r>
      <rPr>
        <sz val="8"/>
        <color theme="1"/>
        <rFont val="Arial"/>
        <family val="2"/>
      </rPr>
      <t>2</t>
    </r>
  </si>
  <si>
    <t>Material Balance</t>
  </si>
  <si>
    <r>
      <t>SO</t>
    </r>
    <r>
      <rPr>
        <vertAlign val="subscript"/>
        <sz val="11"/>
        <rFont val="Arial"/>
        <family val="2"/>
      </rPr>
      <t>2</t>
    </r>
    <r>
      <rPr>
        <sz val="11"/>
        <rFont val="Arial"/>
        <family val="2"/>
      </rPr>
      <t xml:space="preserve"> emissions determined by mass balance and assume 100% conversion of sulfur</t>
    </r>
  </si>
  <si>
    <r>
      <t>H</t>
    </r>
    <r>
      <rPr>
        <sz val="8"/>
        <color theme="1"/>
        <rFont val="Arial"/>
        <family val="2"/>
      </rPr>
      <t>2</t>
    </r>
    <r>
      <rPr>
        <sz val="11"/>
        <color theme="1"/>
        <rFont val="Arial"/>
        <family val="2"/>
      </rPr>
      <t>SO</t>
    </r>
    <r>
      <rPr>
        <sz val="8"/>
        <color theme="1"/>
        <rFont val="Arial"/>
        <family val="2"/>
      </rPr>
      <t>4</t>
    </r>
  </si>
  <si>
    <r>
      <t>H</t>
    </r>
    <r>
      <rPr>
        <vertAlign val="subscript"/>
        <sz val="11"/>
        <rFont val="Arial"/>
        <family val="2"/>
      </rPr>
      <t>2</t>
    </r>
    <r>
      <rPr>
        <sz val="11"/>
        <rFont val="Arial"/>
        <family val="2"/>
      </rPr>
      <t>SO</t>
    </r>
    <r>
      <rPr>
        <vertAlign val="subscript"/>
        <sz val="11"/>
        <rFont val="Arial"/>
        <family val="2"/>
      </rPr>
      <t>4</t>
    </r>
    <r>
      <rPr>
        <sz val="11"/>
        <rFont val="Arial"/>
        <family val="2"/>
      </rPr>
      <t xml:space="preserve"> emissions determined by mass balance and assume 10% conversion of sulfur</t>
    </r>
  </si>
  <si>
    <r>
      <t>NH</t>
    </r>
    <r>
      <rPr>
        <sz val="8"/>
        <color theme="1"/>
        <rFont val="Arial"/>
        <family val="2"/>
      </rPr>
      <t>3</t>
    </r>
  </si>
  <si>
    <r>
      <t>NH</t>
    </r>
    <r>
      <rPr>
        <vertAlign val="subscript"/>
        <sz val="11"/>
        <rFont val="Arial"/>
        <family val="2"/>
      </rPr>
      <t>3</t>
    </r>
    <r>
      <rPr>
        <sz val="11"/>
        <rFont val="Arial"/>
        <family val="2"/>
      </rPr>
      <t xml:space="preserve"> emissions calculated using ammonia concentration and exhaust flow rate</t>
    </r>
  </si>
  <si>
    <t>IV. Emission Rates</t>
  </si>
  <si>
    <t>The cells under columns “lb/hr” and “tpy” will populate automatically based upon the input parameters and emission factors entered above. Maximum emission rates are listed and are based on impacts requirements. Acceptance of the proposed emission rates for this unit is confirmed on the Special Conditions sheet.</t>
  </si>
  <si>
    <t>lb/hr</t>
  </si>
  <si>
    <t>lb/hr max*</t>
  </si>
  <si>
    <t>tpy</t>
  </si>
  <si>
    <t>tpy max**</t>
  </si>
  <si>
    <t>*The lb/hr maximums listed represent the combined maximum for all engines at the site authorized by a RAP operating at any given time. For example, if one engine is operating, the maximum NOx lb/hr emission rate is 1.85. If two engines are operating at the same time, the maximum combined NOx lb/hr emission rate is 1.85.
**The tpy maximums listed represent the combined maximum for all engines at the site authorized by a RAP. For example, if there is one engine, the maximum NOx tpy emission rate is 0.2775. If there are two engines, the combined maximum NOx tpy emission rate is 0.2775.</t>
  </si>
  <si>
    <t>V. Equations</t>
  </si>
  <si>
    <t>The following equations are used to determine emission rates for each pollutant. No input is required.</t>
  </si>
  <si>
    <r>
      <t>A. NO</t>
    </r>
    <r>
      <rPr>
        <b/>
        <vertAlign val="subscript"/>
        <sz val="11"/>
        <color theme="1"/>
        <rFont val="Arial"/>
        <family val="2"/>
      </rPr>
      <t>x</t>
    </r>
    <r>
      <rPr>
        <b/>
        <sz val="11"/>
        <color theme="1"/>
        <rFont val="Arial"/>
        <family val="2"/>
      </rPr>
      <t>, CO, PM/PM</t>
    </r>
    <r>
      <rPr>
        <b/>
        <vertAlign val="subscript"/>
        <sz val="11"/>
        <color theme="1"/>
        <rFont val="Arial"/>
        <family val="2"/>
      </rPr>
      <t>10</t>
    </r>
    <r>
      <rPr>
        <b/>
        <sz val="11"/>
        <color theme="1"/>
        <rFont val="Arial"/>
        <family val="2"/>
      </rPr>
      <t>/PM</t>
    </r>
    <r>
      <rPr>
        <b/>
        <vertAlign val="subscript"/>
        <sz val="11"/>
        <color theme="1"/>
        <rFont val="Arial"/>
        <family val="2"/>
      </rPr>
      <t>2.5</t>
    </r>
    <r>
      <rPr>
        <b/>
        <sz val="11"/>
        <color theme="1"/>
        <rFont val="Arial"/>
        <family val="2"/>
      </rPr>
      <t>, VOC lb/hr (sample equation for NO</t>
    </r>
    <r>
      <rPr>
        <b/>
        <vertAlign val="subscript"/>
        <sz val="11"/>
        <color theme="1"/>
        <rFont val="Arial"/>
        <family val="2"/>
      </rPr>
      <t>x</t>
    </r>
    <r>
      <rPr>
        <b/>
        <sz val="11"/>
        <color theme="1"/>
        <rFont val="Arial"/>
        <family val="2"/>
      </rPr>
      <t>)</t>
    </r>
  </si>
  <si>
    <r>
      <t>B. SO</t>
    </r>
    <r>
      <rPr>
        <b/>
        <vertAlign val="subscript"/>
        <sz val="11"/>
        <color theme="1"/>
        <rFont val="Arial"/>
        <family val="2"/>
      </rPr>
      <t>2</t>
    </r>
    <r>
      <rPr>
        <b/>
        <sz val="11"/>
        <color theme="1"/>
        <rFont val="Arial"/>
        <family val="2"/>
      </rPr>
      <t xml:space="preserve"> lb/hr</t>
    </r>
  </si>
  <si>
    <r>
      <t>C. H</t>
    </r>
    <r>
      <rPr>
        <b/>
        <vertAlign val="subscript"/>
        <sz val="11"/>
        <color theme="1"/>
        <rFont val="Arial"/>
        <family val="2"/>
      </rPr>
      <t>2</t>
    </r>
    <r>
      <rPr>
        <b/>
        <sz val="11"/>
        <color theme="1"/>
        <rFont val="Arial"/>
        <family val="2"/>
      </rPr>
      <t>SO</t>
    </r>
    <r>
      <rPr>
        <b/>
        <vertAlign val="subscript"/>
        <sz val="11"/>
        <color theme="1"/>
        <rFont val="Arial"/>
        <family val="2"/>
      </rPr>
      <t>4</t>
    </r>
    <r>
      <rPr>
        <b/>
        <sz val="11"/>
        <color theme="1"/>
        <rFont val="Arial"/>
        <family val="2"/>
      </rPr>
      <t xml:space="preserve"> lb/hr</t>
    </r>
  </si>
  <si>
    <r>
      <t>Note: a conservative molar assumption of 10% molar concentration was used to convert SO</t>
    </r>
    <r>
      <rPr>
        <vertAlign val="subscript"/>
        <sz val="11"/>
        <color theme="1"/>
        <rFont val="Arial"/>
        <family val="2"/>
      </rPr>
      <t>2</t>
    </r>
    <r>
      <rPr>
        <sz val="11"/>
        <color theme="1"/>
        <rFont val="Arial"/>
        <family val="2"/>
      </rPr>
      <t xml:space="preserve"> to SO</t>
    </r>
    <r>
      <rPr>
        <vertAlign val="subscript"/>
        <sz val="11"/>
        <color theme="1"/>
        <rFont val="Arial"/>
        <family val="2"/>
      </rPr>
      <t>3</t>
    </r>
    <r>
      <rPr>
        <sz val="11"/>
        <color theme="1"/>
        <rFont val="Arial"/>
        <family val="2"/>
      </rPr>
      <t xml:space="preserve"> and 100% for SO</t>
    </r>
    <r>
      <rPr>
        <vertAlign val="subscript"/>
        <sz val="11"/>
        <color theme="1"/>
        <rFont val="Arial"/>
        <family val="2"/>
      </rPr>
      <t>3</t>
    </r>
    <r>
      <rPr>
        <sz val="11"/>
        <color theme="1"/>
        <rFont val="Arial"/>
        <family val="2"/>
      </rPr>
      <t xml:space="preserve"> to H</t>
    </r>
    <r>
      <rPr>
        <vertAlign val="subscript"/>
        <sz val="11"/>
        <color theme="1"/>
        <rFont val="Arial"/>
        <family val="2"/>
      </rPr>
      <t>2</t>
    </r>
    <r>
      <rPr>
        <sz val="11"/>
        <color theme="1"/>
        <rFont val="Arial"/>
        <family val="2"/>
      </rPr>
      <t>SO</t>
    </r>
    <r>
      <rPr>
        <vertAlign val="subscript"/>
        <sz val="11"/>
        <color theme="1"/>
        <rFont val="Arial"/>
        <family val="2"/>
      </rPr>
      <t>4</t>
    </r>
    <r>
      <rPr>
        <sz val="11"/>
        <color theme="1"/>
        <rFont val="Arial"/>
        <family val="2"/>
      </rPr>
      <t>.</t>
    </r>
  </si>
  <si>
    <t>D. Ammonia lb/hr</t>
  </si>
  <si>
    <r>
      <t>E. All pollutants, tpy (sample equation for NO</t>
    </r>
    <r>
      <rPr>
        <b/>
        <vertAlign val="subscript"/>
        <sz val="11"/>
        <color theme="1"/>
        <rFont val="Arial"/>
        <family val="2"/>
      </rPr>
      <t>x</t>
    </r>
    <r>
      <rPr>
        <b/>
        <sz val="11"/>
        <color theme="1"/>
        <rFont val="Arial"/>
        <family val="2"/>
      </rPr>
      <t>)</t>
    </r>
  </si>
  <si>
    <t>Engine 2</t>
  </si>
  <si>
    <t>Exhaust gas flow rate (scf/min at 60⁰F)</t>
  </si>
  <si>
    <t>Engine 3</t>
  </si>
  <si>
    <t>Engine 4</t>
  </si>
  <si>
    <t>Engine 5</t>
  </si>
  <si>
    <t>Engine 6</t>
  </si>
  <si>
    <t>Engine 7</t>
  </si>
  <si>
    <t>Engine 8</t>
  </si>
  <si>
    <t>Engine 9</t>
  </si>
  <si>
    <t>Engine 10</t>
  </si>
  <si>
    <t>Engine Summary</t>
  </si>
  <si>
    <t>EPN</t>
  </si>
  <si>
    <t>Source name</t>
  </si>
  <si>
    <t>UTM zone</t>
  </si>
  <si>
    <t>UTM coordinate - easting (meters)</t>
  </si>
  <si>
    <t>UTM coordinate - northing (meters)</t>
  </si>
  <si>
    <t>Number of engines in this project:</t>
  </si>
  <si>
    <t>II. Hours of Operation</t>
  </si>
  <si>
    <t>Sheet ID</t>
  </si>
  <si>
    <t>Annual operating hours (hr/yr)</t>
  </si>
  <si>
    <t>Comment</t>
  </si>
  <si>
    <t>Total operating hours</t>
  </si>
  <si>
    <t>III. Short-Term Emission Limit (lb/hr)</t>
  </si>
  <si>
    <r>
      <t>NO</t>
    </r>
    <r>
      <rPr>
        <b/>
        <sz val="8"/>
        <color theme="1"/>
        <rFont val="Arial"/>
        <family val="2"/>
      </rPr>
      <t>x</t>
    </r>
  </si>
  <si>
    <r>
      <t>PM</t>
    </r>
    <r>
      <rPr>
        <b/>
        <sz val="8"/>
        <color theme="1"/>
        <rFont val="Arial"/>
        <family val="2"/>
      </rPr>
      <t>10</t>
    </r>
  </si>
  <si>
    <r>
      <t>PM</t>
    </r>
    <r>
      <rPr>
        <b/>
        <sz val="8"/>
        <color theme="1"/>
        <rFont val="Arial"/>
        <family val="2"/>
      </rPr>
      <t>2.5</t>
    </r>
  </si>
  <si>
    <r>
      <t>SO</t>
    </r>
    <r>
      <rPr>
        <b/>
        <sz val="8"/>
        <color theme="1"/>
        <rFont val="Arial"/>
        <family val="2"/>
      </rPr>
      <t>2</t>
    </r>
  </si>
  <si>
    <r>
      <t>H</t>
    </r>
    <r>
      <rPr>
        <b/>
        <sz val="8"/>
        <color theme="1"/>
        <rFont val="Arial"/>
        <family val="2"/>
      </rPr>
      <t>2</t>
    </r>
    <r>
      <rPr>
        <b/>
        <sz val="11"/>
        <color theme="1"/>
        <rFont val="Arial"/>
        <family val="2"/>
      </rPr>
      <t>SO</t>
    </r>
    <r>
      <rPr>
        <b/>
        <sz val="8"/>
        <color theme="1"/>
        <rFont val="Arial"/>
        <family val="2"/>
      </rPr>
      <t>4</t>
    </r>
  </si>
  <si>
    <r>
      <t>NH</t>
    </r>
    <r>
      <rPr>
        <b/>
        <sz val="8"/>
        <color theme="1"/>
        <rFont val="Arial"/>
        <family val="2"/>
      </rPr>
      <t>3</t>
    </r>
  </si>
  <si>
    <t>Total Engine Emissions (lb/hr)</t>
  </si>
  <si>
    <t>IV. Annual Emission Limit (tpy)</t>
  </si>
  <si>
    <t>Total Engine Emissions (tpy)</t>
  </si>
  <si>
    <t>Diesel Tank(s)</t>
  </si>
  <si>
    <t>.</t>
  </si>
  <si>
    <t>Emission Point Number (EPN)</t>
  </si>
  <si>
    <t>Number of tanks in this project:</t>
  </si>
  <si>
    <t>II. Individual Tank Information</t>
  </si>
  <si>
    <t>A. Tank1</t>
  </si>
  <si>
    <t>minimum of 4 ft</t>
  </si>
  <si>
    <t>Nominal capacity or working volume (gallons)</t>
  </si>
  <si>
    <t>Maximum filling rate (gallons/hour)</t>
  </si>
  <si>
    <t>Net annual throughput (gallons/year)</t>
  </si>
  <si>
    <t>VOC - standing losses (lb/hr)</t>
  </si>
  <si>
    <t>maximum of 0.021 lb/hr</t>
  </si>
  <si>
    <t>VOC - filling losses (lb/hr)</t>
  </si>
  <si>
    <t>maximum of 0.430 lb/hr</t>
  </si>
  <si>
    <t>VOC - total standing + filling losses (tpy)</t>
  </si>
  <si>
    <t>maximum of 0.095 tpy</t>
  </si>
  <si>
    <t>B. Tank2</t>
  </si>
  <si>
    <t>C. Tank3</t>
  </si>
  <si>
    <t>D. Tank4</t>
  </si>
  <si>
    <t>E. Tank5</t>
  </si>
  <si>
    <t>F. Tank6</t>
  </si>
  <si>
    <t>G. Tank7</t>
  </si>
  <si>
    <t>H. Tank8</t>
  </si>
  <si>
    <t>I. Tank9</t>
  </si>
  <si>
    <t>J. Tank10</t>
  </si>
  <si>
    <t>Project Manager</t>
  </si>
  <si>
    <t>Team Members</t>
  </si>
  <si>
    <t>*Future Proof Note</t>
  </si>
  <si>
    <t>Name</t>
  </si>
  <si>
    <t>Title V Threshold (TPY)</t>
  </si>
  <si>
    <t>NA Threshold NOX and VOC (TPY)</t>
  </si>
  <si>
    <t>NA Threshold PM10 (TPY)</t>
  </si>
  <si>
    <t>FIN Code</t>
  </si>
  <si>
    <t>NOx lb/hr</t>
  </si>
  <si>
    <t>NOx tpy</t>
  </si>
  <si>
    <t>CO lb/hr</t>
  </si>
  <si>
    <t>CO tpy</t>
  </si>
  <si>
    <t>PM lb/hr</t>
  </si>
  <si>
    <t>PM tpy</t>
  </si>
  <si>
    <t>PM10 lb/hr</t>
  </si>
  <si>
    <t>PM10 tpy</t>
  </si>
  <si>
    <t>PM2.5 lb/hr</t>
  </si>
  <si>
    <t>PM2.5 tpy</t>
  </si>
  <si>
    <t>VOC lb/hr</t>
  </si>
  <si>
    <t>VOC tpy</t>
  </si>
  <si>
    <t>SO2 lb/hr</t>
  </si>
  <si>
    <t>SO2 tpy</t>
  </si>
  <si>
    <t>H2SO4
lb/hr</t>
  </si>
  <si>
    <t>H2SO4
tpy</t>
  </si>
  <si>
    <t>NH3
lb/hr</t>
  </si>
  <si>
    <t>NH3
tpy</t>
  </si>
  <si>
    <t>grey out code - ENGINES based if FIN is blank AND #-o-Engine &lt; Engine#</t>
  </si>
  <si>
    <t>Engine Source Drop Down Menu Options</t>
  </si>
  <si>
    <t>Engine Source Notes</t>
  </si>
  <si>
    <t>Counter</t>
  </si>
  <si>
    <t># of engines authorize</t>
  </si>
  <si>
    <t>Engine FINs - Unique ID</t>
  </si>
  <si>
    <t>Engine FINs - Raw</t>
  </si>
  <si>
    <t>Engine FINs - Clean</t>
  </si>
  <si>
    <t># of tanks authorized</t>
  </si>
  <si>
    <t>Tank FINs - Unique ID</t>
  </si>
  <si>
    <t>Tank FINs - Raw</t>
  </si>
  <si>
    <t>Tank FINs - Clean</t>
  </si>
  <si>
    <t>Anderson</t>
  </si>
  <si>
    <t>total</t>
  </si>
  <si>
    <t>Engines (All)</t>
  </si>
  <si>
    <t>All engines at the site authorized by a RAP</t>
  </si>
  <si>
    <t>Name Header</t>
  </si>
  <si>
    <t>NOx</t>
  </si>
  <si>
    <t>PM10</t>
  </si>
  <si>
    <t>PM2.5</t>
  </si>
  <si>
    <t>SO2</t>
  </si>
  <si>
    <t>Pb</t>
  </si>
  <si>
    <t>H2S</t>
  </si>
  <si>
    <t>TRS</t>
  </si>
  <si>
    <t>Reduced sulfur compounds (including H2S)</t>
  </si>
  <si>
    <t>H2SO4</t>
  </si>
  <si>
    <t>Fluoride (excluding HF)</t>
  </si>
  <si>
    <t>vendor guarantee</t>
  </si>
  <si>
    <t>must provide documentation with example and specs</t>
  </si>
  <si>
    <t>Andrews</t>
  </si>
  <si>
    <t>Current Sitewide PTE (tpy)</t>
  </si>
  <si>
    <t>AP-42 Table 3.3-1</t>
  </si>
  <si>
    <t>must use most current version</t>
  </si>
  <si>
    <t>Angelina</t>
  </si>
  <si>
    <t>Baseline Emission Years</t>
  </si>
  <si>
    <t>testing data</t>
  </si>
  <si>
    <t>must provide documentation and stack test data</t>
  </si>
  <si>
    <t>Aransas</t>
  </si>
  <si>
    <t>ENGINE1</t>
  </si>
  <si>
    <t>federal standard(s)</t>
  </si>
  <si>
    <t>must provide citation</t>
  </si>
  <si>
    <t>Archer</t>
  </si>
  <si>
    <t>ENGINE2</t>
  </si>
  <si>
    <t>Armstrong</t>
  </si>
  <si>
    <t>ENGINE3</t>
  </si>
  <si>
    <t>Atascosa</t>
  </si>
  <si>
    <t>ENGINE4</t>
  </si>
  <si>
    <t>Austin</t>
  </si>
  <si>
    <t>ENGINE5</t>
  </si>
  <si>
    <t>Bailey</t>
  </si>
  <si>
    <t>ENGINE6</t>
  </si>
  <si>
    <t>Bandera</t>
  </si>
  <si>
    <t>ENGINE7</t>
  </si>
  <si>
    <t>Bastrop</t>
  </si>
  <si>
    <t>ENGINE8</t>
  </si>
  <si>
    <t>Eng FIN list:</t>
  </si>
  <si>
    <t>Tk FIN list:</t>
  </si>
  <si>
    <t>Baylor</t>
  </si>
  <si>
    <t>Tanks (all)</t>
  </si>
  <si>
    <t>ENGINE9</t>
  </si>
  <si>
    <t>Bee</t>
  </si>
  <si>
    <t>Totals All</t>
  </si>
  <si>
    <t>ENGINE10</t>
  </si>
  <si>
    <t>Bell</t>
  </si>
  <si>
    <t>TANKS (ALL)</t>
  </si>
  <si>
    <t>Bexar</t>
  </si>
  <si>
    <t>Blanco</t>
  </si>
  <si>
    <t>Borden</t>
  </si>
  <si>
    <t>Bosque</t>
  </si>
  <si>
    <t>Bowie</t>
  </si>
  <si>
    <t>Brazoria</t>
  </si>
  <si>
    <t>Brazos</t>
  </si>
  <si>
    <t>Brewster</t>
  </si>
  <si>
    <t>Briscoe</t>
  </si>
  <si>
    <t>CAP vs Default</t>
  </si>
  <si>
    <t>Brooks</t>
  </si>
  <si>
    <t>Cap check</t>
  </si>
  <si>
    <t>Title</t>
  </si>
  <si>
    <t>standard</t>
  </si>
  <si>
    <t>Brown</t>
  </si>
  <si>
    <t>engine</t>
  </si>
  <si>
    <t>Burleson</t>
  </si>
  <si>
    <t>tank</t>
  </si>
  <si>
    <t>Burnet</t>
  </si>
  <si>
    <t>Caldwell</t>
  </si>
  <si>
    <t>Calhoun</t>
  </si>
  <si>
    <t>Callahan</t>
  </si>
  <si>
    <t>Cameron</t>
  </si>
  <si>
    <t>ENGINE Summary Logic</t>
  </si>
  <si>
    <t>Camp</t>
  </si>
  <si>
    <t>CHECK</t>
  </si>
  <si>
    <t>Carson</t>
  </si>
  <si>
    <t>CHECK1 -Total Engine Emissions (lb/hr)</t>
  </si>
  <si>
    <t>Cass</t>
  </si>
  <si>
    <t>CHECK2 -Max Engine Emissions (lb/hr)</t>
  </si>
  <si>
    <t>Castro</t>
  </si>
  <si>
    <t>CHECK3- Max Engine Emissions(tpy)</t>
  </si>
  <si>
    <t>Chambers</t>
  </si>
  <si>
    <t>CHECK4- Total Engine Emissions (tpy)</t>
  </si>
  <si>
    <t>Cherokee</t>
  </si>
  <si>
    <t>Childress</t>
  </si>
  <si>
    <t>ENGINE Summary Text Logic (lb/hr)</t>
  </si>
  <si>
    <t>Clay</t>
  </si>
  <si>
    <t>C1- FAIL</t>
  </si>
  <si>
    <t>*If the Total Engine Emissions exceeds the RAP limit but Max Engine Emissions does not, engines must be operated to comply with the RAP limit. The lb/hr maximums listed represent the combined maximum for all engines at the site authorized by a RAP operating at any given time. For example, if one engine is operating, the maximum NOx lb/hr emission rate is 1.85. If two engines are operating at the same time, the maximum combined NOx lb/hr emission rate is 1.85.</t>
  </si>
  <si>
    <t>Cochran</t>
  </si>
  <si>
    <t>C2- FAIL</t>
  </si>
  <si>
    <t>*Individual operational hours is in exceedence of the RAP conditions.</t>
  </si>
  <si>
    <t>Coke</t>
  </si>
  <si>
    <t>1ENGINE</t>
  </si>
  <si>
    <t>*Individual engine complies withthe RAP conditions.</t>
  </si>
  <si>
    <t>Coleman</t>
  </si>
  <si>
    <t>General - lb/hr</t>
  </si>
  <si>
    <t>*The lb/hr maximums listed represent the combined maximum for all engines at the site authorized by a RAP operating at any given time. For example, if one engine is operating, the maximum NOx lb/hr emission rate is 1.85. If two engines are operating at the same time, the maximum combined NOx lb/hr emission rate is 1.85.</t>
  </si>
  <si>
    <t>Collin</t>
  </si>
  <si>
    <t>ENGINE Summary Text Logic (tpy)</t>
  </si>
  <si>
    <t>Collingsworth</t>
  </si>
  <si>
    <t>C3-FAIL</t>
  </si>
  <si>
    <t>**If the Total Engine Emissions exceeds the RAP limit but Max Engine Emissions does not, engines must be operated to comply with the RAP limit. The tpy maximums listed represent the combined maximum for all engines at the site authorized by a RAP. For example, if there is one engine, the maximum NOx tpy emission rate is 0.2775. If there are two engines, the combined maximum NOx tpy emission rate is 0.2775.</t>
  </si>
  <si>
    <t>Colorado</t>
  </si>
  <si>
    <t>General - tpy</t>
  </si>
  <si>
    <t>**The tpy maximums listed represent the combined maximum for all engines at the site authorized by a RAP. For example, if there is one engine, the maximum NOx tpy emission rate is 0.2775. If there are two engines, the combined maximum NOx tpy emission rate is 0.2775.</t>
  </si>
  <si>
    <t>Comal</t>
  </si>
  <si>
    <t>**Individual engine complies withthe RAP conditions.</t>
  </si>
  <si>
    <t>Comanche</t>
  </si>
  <si>
    <t>Concho</t>
  </si>
  <si>
    <t>Cooke</t>
  </si>
  <si>
    <t>Coryell</t>
  </si>
  <si>
    <t>BACT SC B17</t>
  </si>
  <si>
    <t>Cottle</t>
  </si>
  <si>
    <t>Crane</t>
  </si>
  <si>
    <t>Crockett</t>
  </si>
  <si>
    <t>TODAY</t>
  </si>
  <si>
    <t>Crosby</t>
  </si>
  <si>
    <t>Culberson</t>
  </si>
  <si>
    <t>Dallam</t>
  </si>
  <si>
    <t>Dallas</t>
  </si>
  <si>
    <t>Dawson</t>
  </si>
  <si>
    <t>Deaf Smith</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</si>
  <si>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</si>
  <si>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</si>
  <si>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</si>
  <si>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</si>
  <si>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</si>
  <si>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</si>
  <si>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</si>
  <si>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</si>
  <si>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</si>
  <si>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</si>
  <si>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</si>
  <si>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</si>
  <si>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</si>
  <si>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</si>
  <si>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</si>
  <si>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</si>
  <si>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</si>
  <si>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</si>
  <si>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</si>
  <si>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</si>
  <si>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</si>
  <si>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</si>
  <si>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</si>
  <si>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</si>
  <si>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</si>
  <si>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</si>
  <si>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</si>
  <si>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</si>
  <si>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</si>
  <si>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</si>
  <si>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</si>
  <si>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</si>
  <si>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</si>
  <si>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</si>
  <si>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</si>
  <si>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</si>
  <si>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</si>
  <si>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</si>
  <si>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</si>
  <si>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</si>
  <si>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</si>
  <si>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</si>
  <si>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</si>
  <si>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</si>
  <si>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</si>
  <si>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</si>
  <si>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</si>
  <si>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</si>
  <si>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</si>
  <si>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</si>
  <si>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</si>
  <si>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</si>
  <si>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</si>
  <si>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</si>
  <si>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</si>
  <si>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</si>
  <si>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</si>
  <si>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</si>
  <si>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</si>
  <si>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</si>
  <si>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</si>
  <si>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</si>
  <si>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</si>
  <si>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</si>
  <si>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</si>
  <si>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</si>
  <si>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</si>
  <si>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</si>
  <si>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</si>
  <si>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</si>
  <si>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</si>
  <si>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</si>
  <si>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</si>
  <si>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</si>
  <si>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</si>
  <si>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</si>
  <si>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</si>
  <si>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</si>
  <si>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</si>
  <si>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</si>
  <si>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</si>
  <si>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 Salle</t>
  </si>
  <si>
    <t>Lavaca</t>
  </si>
  <si>
    <t>Lee</t>
  </si>
  <si>
    <t>Leon</t>
  </si>
  <si>
    <t>Liberty</t>
  </si>
  <si>
    <t>Limestone</t>
  </si>
  <si>
    <t>Lipscomb</t>
  </si>
  <si>
    <t>Live Oak</t>
  </si>
  <si>
    <t>Llano</t>
  </si>
  <si>
    <t>Loving</t>
  </si>
  <si>
    <t>Lubbock</t>
  </si>
  <si>
    <t>Lynn</t>
  </si>
  <si>
    <t>McCulloch</t>
  </si>
  <si>
    <t>McLennan</t>
  </si>
  <si>
    <t>McMullen</t>
  </si>
  <si>
    <t>Madison</t>
  </si>
  <si>
    <t>Marion</t>
  </si>
  <si>
    <t>Martin</t>
  </si>
  <si>
    <t>Mason</t>
  </si>
  <si>
    <t>Matagorda</t>
  </si>
  <si>
    <t>Maverick</t>
  </si>
  <si>
    <t>Medina</t>
  </si>
  <si>
    <t>Menard</t>
  </si>
  <si>
    <t>Midland</t>
  </si>
  <si>
    <t>Milam</t>
  </si>
  <si>
    <t>Mills</t>
  </si>
  <si>
    <t>Mitchell</t>
  </si>
  <si>
    <t>Montague</t>
  </si>
  <si>
    <t>Montgomery</t>
  </si>
  <si>
    <t>Moore</t>
  </si>
  <si>
    <t>Morris</t>
  </si>
  <si>
    <t>Motley</t>
  </si>
  <si>
    <t>Nacogdoches</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</si>
  <si>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</si>
  <si>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</si>
  <si>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</si>
  <si>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</si>
  <si>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</si>
  <si>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</si>
  <si>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</si>
  <si>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</si>
  <si>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</si>
  <si>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</si>
  <si>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</si>
  <si>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</si>
  <si>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</si>
  <si>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</si>
  <si>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</si>
  <si>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</si>
  <si>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</si>
  <si>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</si>
  <si>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</si>
  <si>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</si>
  <si>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</si>
  <si>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</si>
  <si>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</si>
  <si>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</si>
  <si>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</si>
  <si>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</si>
  <si>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</si>
  <si>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</si>
  <si>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</si>
  <si>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</si>
  <si>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</si>
  <si>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</si>
  <si>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</si>
  <si>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</si>
  <si>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</si>
  <si>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</si>
  <si>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</si>
  <si>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</si>
  <si>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</si>
  <si>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</si>
  <si>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</si>
  <si>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</si>
  <si>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</si>
  <si>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</si>
  <si>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</si>
  <si>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</si>
  <si>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</si>
  <si>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</si>
  <si>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</si>
  <si>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</si>
  <si>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</si>
  <si>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</si>
  <si>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</si>
  <si>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</si>
  <si>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</si>
  <si>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</si>
  <si>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</si>
  <si>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</si>
  <si>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</si>
  <si>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</si>
  <si>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</si>
  <si>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</si>
  <si>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</si>
  <si>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</si>
  <si>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</si>
  <si>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</si>
  <si>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</si>
  <si>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</si>
  <si>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</si>
  <si>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</si>
  <si>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</si>
  <si>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</si>
  <si>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</si>
  <si>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</si>
  <si>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</si>
  <si>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</si>
  <si>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</si>
  <si>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</si>
  <si>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</si>
  <si>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r>
      <t xml:space="preserve">This sheet summarizes the current annual emissions from each source represented in this workbook.
</t>
    </r>
    <r>
      <rPr>
        <b/>
        <sz val="11"/>
        <color theme="1"/>
        <rFont val="Arial"/>
        <family val="2"/>
      </rPr>
      <t xml:space="preserve">Instructions: </t>
    </r>
    <r>
      <rPr>
        <sz val="11"/>
        <color theme="1"/>
        <rFont val="Arial"/>
        <family val="2"/>
      </rPr>
      <t xml:space="preserve">
1. For new sources - leave associated cell in that row blank.
2. For existing sources - enter the current ton per year emission rate from the current MAERT for each source modified with this project. </t>
    </r>
  </si>
  <si>
    <t>ID</t>
  </si>
  <si>
    <r>
      <t>Current 
NO</t>
    </r>
    <r>
      <rPr>
        <b/>
        <vertAlign val="subscript"/>
        <sz val="11"/>
        <color theme="1"/>
        <rFont val="Arial"/>
        <family val="2"/>
      </rPr>
      <t>X</t>
    </r>
    <r>
      <rPr>
        <b/>
        <sz val="11"/>
        <color theme="1"/>
        <rFont val="Arial"/>
        <family val="2"/>
      </rPr>
      <t xml:space="preserve"> (tpy)</t>
    </r>
  </si>
  <si>
    <t>Current 
CO (tpy)</t>
  </si>
  <si>
    <t>Current 
PM (tpy)</t>
  </si>
  <si>
    <r>
      <t>Current
PM</t>
    </r>
    <r>
      <rPr>
        <b/>
        <vertAlign val="subscript"/>
        <sz val="11"/>
        <color theme="1"/>
        <rFont val="Arial"/>
        <family val="2"/>
      </rPr>
      <t>10</t>
    </r>
    <r>
      <rPr>
        <b/>
        <sz val="11"/>
        <color theme="1"/>
        <rFont val="Arial"/>
        <family val="2"/>
      </rPr>
      <t xml:space="preserve"> (tpy)</t>
    </r>
  </si>
  <si>
    <r>
      <t>Current
PM</t>
    </r>
    <r>
      <rPr>
        <b/>
        <vertAlign val="subscript"/>
        <sz val="11"/>
        <color theme="1"/>
        <rFont val="Arial"/>
        <family val="2"/>
      </rPr>
      <t>2.5</t>
    </r>
    <r>
      <rPr>
        <b/>
        <sz val="11"/>
        <color theme="1"/>
        <rFont val="Arial"/>
        <family val="2"/>
      </rPr>
      <t xml:space="preserve"> (tpy)</t>
    </r>
  </si>
  <si>
    <t>Current 
VOC (tpy)</t>
  </si>
  <si>
    <r>
      <t>Current 
SO</t>
    </r>
    <r>
      <rPr>
        <b/>
        <vertAlign val="subscript"/>
        <sz val="11"/>
        <color theme="1"/>
        <rFont val="Arial"/>
        <family val="2"/>
      </rPr>
      <t>2</t>
    </r>
    <r>
      <rPr>
        <b/>
        <sz val="11"/>
        <color theme="1"/>
        <rFont val="Arial"/>
        <family val="2"/>
      </rPr>
      <t xml:space="preserve"> (tpy)</t>
    </r>
  </si>
  <si>
    <r>
      <t>Current
H</t>
    </r>
    <r>
      <rPr>
        <b/>
        <vertAlign val="subscript"/>
        <sz val="11"/>
        <color theme="1"/>
        <rFont val="Arial"/>
        <family val="2"/>
      </rPr>
      <t>2</t>
    </r>
    <r>
      <rPr>
        <b/>
        <sz val="11"/>
        <color theme="1"/>
        <rFont val="Arial"/>
        <family val="2"/>
      </rPr>
      <t>SO</t>
    </r>
    <r>
      <rPr>
        <b/>
        <vertAlign val="subscript"/>
        <sz val="11"/>
        <color theme="1"/>
        <rFont val="Arial"/>
        <family val="2"/>
      </rPr>
      <t>4</t>
    </r>
    <r>
      <rPr>
        <b/>
        <sz val="11"/>
        <color theme="1"/>
        <rFont val="Arial"/>
        <family val="2"/>
      </rPr>
      <t xml:space="preserve"> (tpy)</t>
    </r>
  </si>
  <si>
    <r>
      <t>Current
NH</t>
    </r>
    <r>
      <rPr>
        <b/>
        <vertAlign val="subscript"/>
        <sz val="11"/>
        <color theme="1"/>
        <rFont val="Arial"/>
        <family val="2"/>
      </rPr>
      <t>3</t>
    </r>
    <r>
      <rPr>
        <b/>
        <sz val="11"/>
        <color theme="1"/>
        <rFont val="Arial"/>
        <family val="2"/>
      </rPr>
      <t xml:space="preserve"> (tpy)</t>
    </r>
  </si>
  <si>
    <t>Total</t>
  </si>
  <si>
    <t>No data</t>
  </si>
  <si>
    <t>=IF(OR([@[Project Allowable Emission Rates (tpy)]]=0,[@[Project Allowable Emission Rates (tpy)]]-index('Baseline'!$B$19:$I$19,match(PS_Emissions_Summary[@Air Contaminant],'Current PTE'!$C$20:$K$20&lt;0),0,[@[Project Allowable Emission Rates (tpy)]]-Baseline!C$19)</t>
  </si>
  <si>
    <t>Public Notice Applicability, Required Information, and Small Business Classification</t>
  </si>
  <si>
    <t>YEL CF</t>
  </si>
  <si>
    <t>www.tceq.texas.gov/permitting/air/bilingual/how1_2_pn.html</t>
  </si>
  <si>
    <r>
      <rPr>
        <b/>
        <sz val="11"/>
        <color rgb="FF000000"/>
        <rFont val="Arial"/>
        <family val="2"/>
      </rPr>
      <t>Instructions:</t>
    </r>
    <r>
      <rPr>
        <sz val="11"/>
        <color rgb="FF000000"/>
        <rFont val="Arial"/>
        <family val="2"/>
      </rPr>
      <t xml:space="preserve">
1. Complete all questions below in the Public Notice Applicability section. A summary statement at the end will indicate if notice is required.
2. If public notice applies, complete Section II.
3. Complete all questions in the Small Business Classification section to determine eligibility.</t>
    </r>
  </si>
  <si>
    <t>I. Public Notice Applicability</t>
  </si>
  <si>
    <t>A. Application Type</t>
  </si>
  <si>
    <t>II. Public Notice Information</t>
  </si>
  <si>
    <t>A. Contact Information</t>
  </si>
  <si>
    <r>
      <rPr>
        <sz val="11"/>
        <color theme="1"/>
        <rFont val="Arial"/>
        <family val="2"/>
      </rPr>
      <t xml:space="preserve">Enter the contact information for the </t>
    </r>
    <r>
      <rPr>
        <b/>
        <sz val="11"/>
        <color theme="1"/>
        <rFont val="Arial"/>
        <family val="2"/>
      </rPr>
      <t>person responsible for publishing.</t>
    </r>
    <r>
      <rPr>
        <sz val="11"/>
        <color theme="1"/>
        <rFont val="Arial"/>
        <family val="2"/>
      </rPr>
      <t xml:space="preserve"> This is a designated representative who is responsible for ensuring public notice is properly published in the appropriate newspaper and signs are posted at the facility site. This person will be contacted directly when the TCEQ is ready to authorize public notice for the application.</t>
    </r>
  </si>
  <si>
    <t>Company Name:</t>
  </si>
  <si>
    <r>
      <rPr>
        <sz val="11"/>
        <color theme="1"/>
        <rFont val="Arial"/>
        <family val="2"/>
      </rPr>
      <t xml:space="preserve">Enter the contact information for the </t>
    </r>
    <r>
      <rPr>
        <b/>
        <sz val="11"/>
        <color theme="1"/>
        <rFont val="Arial"/>
        <family val="2"/>
      </rPr>
      <t>Technical Contact.</t>
    </r>
    <r>
      <rPr>
        <sz val="11"/>
        <color theme="1"/>
        <rFont val="Arial"/>
        <family val="2"/>
      </rPr>
      <t xml:space="preserve"> This is the designated representative who will be listed in the public notice as a contact for additional information.</t>
    </r>
  </si>
  <si>
    <r>
      <rPr>
        <b/>
        <sz val="11"/>
        <color theme="1"/>
        <rFont val="Arial"/>
        <family val="2"/>
      </rPr>
      <t>B. Public place</t>
    </r>
    <r>
      <rPr>
        <sz val="11"/>
        <color theme="1"/>
        <rFont val="Arial"/>
        <family val="2"/>
      </rPr>
      <t xml:space="preserve">
Place a copy of the full application (including all of this workbook and all attachments) at a public place in the county where the facilities are or will be located. You must state where in the county the application will be available for public review and comment. The location must be a public place and described in the notice. A public place is a location which is owned and operated by public funds (such as libraries, county courthouses, or city halls) and cannot be a commercial enterprise. You are required to pre-arrange this availability with the public place indicated below. The application must remain available from the first day of publication through the designated comment period.
If the application is submitted to the agency with information marked as Confidential, you are required to indicate which specific portions of the application are not being made available to the public. These portions of the application must be accompanied with the following statement: </t>
    </r>
    <r>
      <rPr>
        <b/>
        <i/>
        <sz val="11"/>
        <color theme="1"/>
        <rFont val="Arial"/>
        <family val="2"/>
      </rPr>
      <t>Any request for portions of this application that are marked as confidential must be submitted in writing, pursuant to the Public Information Act, to the TCEQ Public Information Coordinator, MC 197, P.O. Box 13087, Austin, Texas 78711-3087.</t>
    </r>
  </si>
  <si>
    <t>Name of Public Place:</t>
  </si>
  <si>
    <t>Physical Address:</t>
  </si>
  <si>
    <t>County:</t>
  </si>
  <si>
    <t>Has the public place granted authorization to place the application for public viewing and copying?</t>
  </si>
  <si>
    <t>Does the public place have Internet access available for the public?</t>
  </si>
  <si>
    <r>
      <rPr>
        <b/>
        <sz val="11"/>
        <color theme="1"/>
        <rFont val="Arial"/>
        <family val="2"/>
      </rPr>
      <t>C. Alternate Language Publication</t>
    </r>
    <r>
      <rPr>
        <sz val="11"/>
        <color theme="1"/>
        <rFont val="Arial"/>
        <family val="2"/>
      </rPr>
      <t xml:space="preserve">
In some cases, public notice in an alternate language is required. If an elementary or middle school nearest to the facility is in a school district required by the Texas Education Code to have a bilingual program, a bilingual notice will be required. If there is no bilingual program required in the school nearest the facility, but children who would normally attend those schools are eligible to attend bilingual programs elsewhere in the school district, the bilingual notice will also be required. If it is determined that alternate language notice is required, you are responsible for ensuring that the publication in the alternate language is complete and accurate in that language.</t>
    </r>
  </si>
  <si>
    <t>Is a bilingual program required by the Texas Education Code in the School District?</t>
  </si>
  <si>
    <t>Are the children who attend either the elementary school or the middle school closest to your facility eligible to be enrolled in a bilingual program provided by the district?</t>
  </si>
  <si>
    <t>If yes to either question above, list which language(s) are required by the bilingual program?</t>
  </si>
  <si>
    <t>Enter additional language, if applicable.</t>
  </si>
  <si>
    <t>III. Small Business Classification</t>
  </si>
  <si>
    <t>Complete this section to determine small business classification. If a small business requests a permit, agency rules [30 TAC §39.603(d)(1)(A)] allow for alternative public notification requirements if all of the following criteria are met. If these requirements are met, public notice does not have to include publication of the prominent (12 square inch) newspaper notice.</t>
  </si>
  <si>
    <t>Does the company (including parent companies and subsidiary companies) have fewer than 100 employees or less than $6 million in annual gross receipts?</t>
  </si>
  <si>
    <t>Is the site a major source under 30 TAC Chapter 122, Federal Operating Permit Program?</t>
  </si>
  <si>
    <t>Are the site emissions of any individual air contaminant greater than or equal to 50 tpy?</t>
  </si>
  <si>
    <t>Are the site emissions of all air contaminants combined greater than or equal to 75 tpy?</t>
  </si>
  <si>
    <t>Small business classification:</t>
  </si>
  <si>
    <t>Baseline Emission Information</t>
  </si>
  <si>
    <t>Subject</t>
  </si>
  <si>
    <t>CO 
(tpy)</t>
  </si>
  <si>
    <r>
      <t>NO</t>
    </r>
    <r>
      <rPr>
        <b/>
        <vertAlign val="subscript"/>
        <sz val="11"/>
        <color theme="1"/>
        <rFont val="Arial"/>
        <family val="2"/>
      </rPr>
      <t>X</t>
    </r>
    <r>
      <rPr>
        <b/>
        <sz val="11"/>
        <color theme="1"/>
        <rFont val="Arial"/>
        <family val="2"/>
      </rPr>
      <t xml:space="preserve"> 
(tpy)</t>
    </r>
  </si>
  <si>
    <t>PM 
(tpy)</t>
  </si>
  <si>
    <r>
      <t>PM</t>
    </r>
    <r>
      <rPr>
        <b/>
        <vertAlign val="subscript"/>
        <sz val="11"/>
        <color theme="1"/>
        <rFont val="Arial"/>
        <family val="2"/>
      </rPr>
      <t>10</t>
    </r>
    <r>
      <rPr>
        <b/>
        <sz val="11"/>
        <color theme="1"/>
        <rFont val="Arial"/>
        <family val="2"/>
      </rPr>
      <t xml:space="preserve"> 
(tpy)</t>
    </r>
  </si>
  <si>
    <r>
      <t>PM</t>
    </r>
    <r>
      <rPr>
        <b/>
        <vertAlign val="subscript"/>
        <sz val="11"/>
        <color theme="1"/>
        <rFont val="Arial"/>
        <family val="2"/>
      </rPr>
      <t>2.5</t>
    </r>
    <r>
      <rPr>
        <b/>
        <sz val="11"/>
        <color theme="1"/>
        <rFont val="Arial"/>
        <family val="2"/>
      </rPr>
      <t xml:space="preserve"> 
(tpy)</t>
    </r>
  </si>
  <si>
    <t>VOC 
(tpy)</t>
  </si>
  <si>
    <r>
      <t>SO</t>
    </r>
    <r>
      <rPr>
        <b/>
        <vertAlign val="subscript"/>
        <sz val="11"/>
        <color theme="1"/>
        <rFont val="Arial"/>
        <family val="2"/>
      </rPr>
      <t>2</t>
    </r>
    <r>
      <rPr>
        <b/>
        <sz val="11"/>
        <color theme="1"/>
        <rFont val="Arial"/>
        <family val="2"/>
      </rPr>
      <t xml:space="preserve"> 
(tpy)</t>
    </r>
  </si>
  <si>
    <r>
      <t>H</t>
    </r>
    <r>
      <rPr>
        <b/>
        <vertAlign val="subscript"/>
        <sz val="11"/>
        <color theme="1"/>
        <rFont val="Arial"/>
        <family val="2"/>
      </rPr>
      <t>2</t>
    </r>
    <r>
      <rPr>
        <b/>
        <sz val="11"/>
        <color theme="1"/>
        <rFont val="Arial"/>
        <family val="2"/>
      </rPr>
      <t>SO</t>
    </r>
    <r>
      <rPr>
        <b/>
        <vertAlign val="subscript"/>
        <sz val="11"/>
        <color theme="1"/>
        <rFont val="Arial"/>
        <family val="2"/>
      </rPr>
      <t>4</t>
    </r>
    <r>
      <rPr>
        <b/>
        <sz val="11"/>
        <color theme="1"/>
        <rFont val="Arial"/>
        <family val="2"/>
      </rPr>
      <t xml:space="preserve"> 
(tpy)</t>
    </r>
  </si>
  <si>
    <t>Current Sitewide PTE (tpy)
(all authorizations - 
does not include this project)</t>
  </si>
  <si>
    <t>Engine1</t>
  </si>
  <si>
    <t>Engine2</t>
  </si>
  <si>
    <t>Engine3</t>
  </si>
  <si>
    <t>Engine4</t>
  </si>
  <si>
    <t>Engine5</t>
  </si>
  <si>
    <t>Engine6</t>
  </si>
  <si>
    <t>Engine7</t>
  </si>
  <si>
    <t>Engine8</t>
  </si>
  <si>
    <t>Engine9</t>
  </si>
  <si>
    <t>Engine10</t>
  </si>
  <si>
    <t>Tanks (All)</t>
  </si>
  <si>
    <t>Total Baseline Emissions (tpy)</t>
  </si>
  <si>
    <t>index match</t>
  </si>
  <si>
    <t>NOX</t>
  </si>
  <si>
    <t>HIDE THIS ROW</t>
  </si>
  <si>
    <t>nh3</t>
  </si>
  <si>
    <t>Federal Applicability Determination</t>
  </si>
  <si>
    <t>Partial County List (12/2021)</t>
  </si>
  <si>
    <t>Current Nonattainment Counties (12/2021), including counties designated maintenance (12/2021)</t>
  </si>
  <si>
    <t>Table for threshold and offset look ups</t>
  </si>
  <si>
    <t>Named Sources</t>
  </si>
  <si>
    <t>This sheet determines federal applicability for this project. If the project requires netting, nonattainment NSR, and/or PSD review, it does not qualify for this RAP.</t>
  </si>
  <si>
    <t>County</t>
  </si>
  <si>
    <t>Designation</t>
  </si>
  <si>
    <t>Designation Text</t>
  </si>
  <si>
    <t>Effective Date</t>
  </si>
  <si>
    <t>Ozone</t>
  </si>
  <si>
    <t>Other/Not Listed</t>
  </si>
  <si>
    <r>
      <rPr>
        <b/>
        <sz val="11"/>
        <color theme="1"/>
        <rFont val="Arial"/>
        <family val="2"/>
      </rPr>
      <t xml:space="preserve">Instructions:
</t>
    </r>
    <r>
      <rPr>
        <sz val="11"/>
        <color theme="1"/>
        <rFont val="Arial"/>
        <family val="2"/>
      </rPr>
      <t>1. Answer the general questions in Section I.
2. Complete Section II to determine if nonattainment NSR is required for the project as proposed.
3. Complete Section III to determine if PSD review is required for the project as proposed.
4. If nonattainment NSR, PSD review, or netting are required, then the project as proposed does not qualify for a RAP. Adjust the project to reduce emissions or apply for a case-by-case NSR permit using the Form PI-1. If nonattainment NSR, PSD review, and netting are not required, then continue to the next sheet.</t>
    </r>
  </si>
  <si>
    <t>nonattainment</t>
  </si>
  <si>
    <t>nonattainment for SO2</t>
  </si>
  <si>
    <t>December 13, 2016</t>
  </si>
  <si>
    <t>Major Source - nonattainment</t>
  </si>
  <si>
    <t>Carbon black plants (furnace process)</t>
  </si>
  <si>
    <r>
      <rPr>
        <b/>
        <sz val="11"/>
        <color theme="1"/>
        <rFont val="Arial"/>
        <family val="2"/>
      </rPr>
      <t>Notes:</t>
    </r>
    <r>
      <rPr>
        <sz val="11"/>
        <color theme="1"/>
        <rFont val="Arial"/>
        <family val="2"/>
      </rPr>
      <t xml:space="preserve">
1. Many of the cells will be populated automatically based on data entered on other sheets or questions.
2. The cells labeled "Determination" will guide you through this sheet.
3. More complex federal applicability review options are not allowed for this RAP: net-to-zero, retrospective review, incremental increases, and projected actuals/could have accommodated.
4. Additional information about federal applicability can be found at the link below:</t>
    </r>
  </si>
  <si>
    <t>ozone</t>
  </si>
  <si>
    <t>Major Source - marginal</t>
  </si>
  <si>
    <t>Charcoal production plants</t>
  </si>
  <si>
    <t>https://www.tceq.texas.gov/assets/public/permitting/air/Guidance/NewSourceReview/fnsr_app_determ.pdf</t>
  </si>
  <si>
    <t>Major Source - moderate</t>
  </si>
  <si>
    <t>Chemical process plants (other than ethanol by fermentation)</t>
  </si>
  <si>
    <t>Major Source - serious</t>
  </si>
  <si>
    <t>Coal cleaning plants (with thermal dryers)</t>
  </si>
  <si>
    <t>I. General RAP Qualification Questions</t>
  </si>
  <si>
    <t>Major Source - severe</t>
  </si>
  <si>
    <t>Coke oven batteries</t>
  </si>
  <si>
    <t>Major Source - extreme</t>
  </si>
  <si>
    <t>Fossil fuel-fired steam electric plants &gt; 250 million BTUs per hour heat input</t>
  </si>
  <si>
    <t>Confirm this project will have no affected sources upstream of the modified sources.</t>
  </si>
  <si>
    <t>Netting Threshold - nonattainment</t>
  </si>
  <si>
    <t>Fossil-fuel boilers (or combinations) totaling &gt; 250 million BTUs per hour heat input</t>
  </si>
  <si>
    <t>Confirm the following methods will not be used in the federal applicability analysis for this project:
   -net-to-zero;
   -retrospective review;
   -incremental increases; 
   -projected actuals;
   -could have accommodated; or
   -decreases included in project emission increases.</t>
  </si>
  <si>
    <t>moderate</t>
  </si>
  <si>
    <t>moderate nonattainment for PM10</t>
  </si>
  <si>
    <t>November 6, 1991</t>
  </si>
  <si>
    <t>Netting Threshold - marginal</t>
  </si>
  <si>
    <t>Fuel conversion plants</t>
  </si>
  <si>
    <t>Are there any pending projects involving EPNs in this project?</t>
  </si>
  <si>
    <t>Netting Threshold - moderate</t>
  </si>
  <si>
    <t>Glass fiber processing plants</t>
  </si>
  <si>
    <t>If yes, describe the proposed changes in the other pending projects. Limited to 300 characters.</t>
  </si>
  <si>
    <t>Netting Threshold - serious</t>
  </si>
  <si>
    <t>Hydrofluoric, sulfuric, or nitric acid plants</t>
  </si>
  <si>
    <t>When was the most recent air authorization action affecting sources in this RAP project? Provide the date and a brief description of the change. Enter NA if there are no other air authorization actions affecting sources in this RAP project. Limited to 300 characters.</t>
  </si>
  <si>
    <t>Netting Threshold - severe</t>
  </si>
  <si>
    <t>Iron and steel mills</t>
  </si>
  <si>
    <t>Netting Threshold - extreme</t>
  </si>
  <si>
    <t>Kraft pulp mills</t>
  </si>
  <si>
    <t>II. Nonattainment NSR Applicability Summary</t>
  </si>
  <si>
    <t>Lime plants</t>
  </si>
  <si>
    <t>A. Step 1: Determine if the site is in a nonattainment area for any criteria pollutant(s) or precursor(s).</t>
  </si>
  <si>
    <t>is an na county?</t>
  </si>
  <si>
    <t>is el paso?</t>
  </si>
  <si>
    <t>is partial SO2?</t>
  </si>
  <si>
    <t>Municipal incinerators capable of charging more than 250 tons of refuse per day</t>
  </si>
  <si>
    <t>County (selected on the PI-1-PowerEngine sheet):</t>
  </si>
  <si>
    <t>April 30, 2021</t>
  </si>
  <si>
    <t>Petroleum refineries</t>
  </si>
  <si>
    <t>Petroleum storage and transfer units with total storage capacity above 300,000 barrels</t>
  </si>
  <si>
    <t>Step 1 Determination:</t>
  </si>
  <si>
    <t>Phosphate rock processing plants</t>
  </si>
  <si>
    <t>B. Step 2: Determine if the site is an existing major source. Compare the current sitewide PTE, including fugitive emissions at named sources, to the major source threshold for each criteria pollutant or precursor for which the area is nonattainment.</t>
  </si>
  <si>
    <t>Portland cement plants</t>
  </si>
  <si>
    <t>Criteria Pollutant or Precursor</t>
  </si>
  <si>
    <r>
      <t xml:space="preserve">Current Sitewide PTE (tpy)
</t>
    </r>
    <r>
      <rPr>
        <sz val="11"/>
        <color theme="1"/>
        <rFont val="Arial"/>
        <family val="2"/>
      </rPr>
      <t>all authorizations, excluding this project</t>
    </r>
  </si>
  <si>
    <t>Major Source Threshold (tpy)</t>
  </si>
  <si>
    <t>Current Sitewide PTE ≥ Major Source Threshold?</t>
  </si>
  <si>
    <t>Primary aluminum ore reduction plants</t>
  </si>
  <si>
    <r>
      <t>Ozone (as NO</t>
    </r>
    <r>
      <rPr>
        <vertAlign val="subscript"/>
        <sz val="11"/>
        <color theme="1"/>
        <rFont val="Arial"/>
        <family val="2"/>
      </rPr>
      <t>x</t>
    </r>
    <r>
      <rPr>
        <sz val="11"/>
        <color theme="1"/>
        <rFont val="Arial"/>
        <family val="2"/>
      </rPr>
      <t>)</t>
    </r>
  </si>
  <si>
    <t>Primary copper smelters</t>
  </si>
  <si>
    <t>Ozone (as VOC)</t>
  </si>
  <si>
    <t>Primary lead smelters</t>
  </si>
  <si>
    <r>
      <t>PM</t>
    </r>
    <r>
      <rPr>
        <vertAlign val="subscript"/>
        <sz val="11"/>
        <color theme="1"/>
        <rFont val="Arial"/>
        <family val="2"/>
      </rPr>
      <t>10</t>
    </r>
  </si>
  <si>
    <t>Primary zinc smelters</t>
  </si>
  <si>
    <r>
      <t>SO</t>
    </r>
    <r>
      <rPr>
        <vertAlign val="subscript"/>
        <sz val="11"/>
        <color theme="1"/>
        <rFont val="Arial"/>
        <family val="2"/>
      </rPr>
      <t>2</t>
    </r>
  </si>
  <si>
    <t>Secondary metal production plants</t>
  </si>
  <si>
    <t>Sintering plants</t>
  </si>
  <si>
    <t>Sulfur recovery plants</t>
  </si>
  <si>
    <r>
      <t xml:space="preserve">Project Emissions Increase (tpy)
</t>
    </r>
    <r>
      <rPr>
        <sz val="11"/>
        <color theme="1"/>
        <rFont val="Arial"/>
        <family val="2"/>
      </rPr>
      <t>(Project PTE - Baseline Actual Emissions)</t>
    </r>
  </si>
  <si>
    <t>Threshold (tpy)</t>
  </si>
  <si>
    <t>Project Emissions Increase ≥ Threshold?</t>
  </si>
  <si>
    <t>Taconite ore processing plants</t>
  </si>
  <si>
    <t>III. PSD Applicability Summary</t>
  </si>
  <si>
    <t>A. Step 1: Determine if the project is a named source.</t>
  </si>
  <si>
    <t>Select the source type that most closely matches the facility in this application. If no source type applies, select "Other/Not Listed". Note: This list is based on 40 CFR § 51.166(b)(1)(i)(a).</t>
  </si>
  <si>
    <t>Provide a short description of the facility, limited to 300 characters.</t>
  </si>
  <si>
    <t>B. Step 2: Determine if the site is currently major by comparing the current sitewide PTE to the major source threshold. Read the step 1 determination above for information about including or excluding fugitive emissions in the PTE calculation.</t>
  </si>
  <si>
    <r>
      <t>NO</t>
    </r>
    <r>
      <rPr>
        <vertAlign val="subscript"/>
        <sz val="11"/>
        <color theme="1"/>
        <rFont val="Arial"/>
        <family val="2"/>
      </rPr>
      <t>x</t>
    </r>
  </si>
  <si>
    <r>
      <t>PM</t>
    </r>
    <r>
      <rPr>
        <vertAlign val="subscript"/>
        <sz val="11"/>
        <color theme="1"/>
        <rFont val="Arial"/>
        <family val="2"/>
      </rPr>
      <t>2.5</t>
    </r>
  </si>
  <si>
    <r>
      <t>H</t>
    </r>
    <r>
      <rPr>
        <vertAlign val="subscript"/>
        <sz val="11"/>
        <color theme="1"/>
        <rFont val="Arial"/>
        <family val="2"/>
      </rPr>
      <t>2</t>
    </r>
    <r>
      <rPr>
        <sz val="11"/>
        <color theme="1"/>
        <rFont val="Arial"/>
        <family val="2"/>
      </rPr>
      <t>SO</t>
    </r>
    <r>
      <rPr>
        <vertAlign val="subscript"/>
        <sz val="11"/>
        <color theme="1"/>
        <rFont val="Arial"/>
        <family val="2"/>
      </rPr>
      <t>4</t>
    </r>
  </si>
  <si>
    <r>
      <t xml:space="preserve">Project Emissions Increase (tpy)
</t>
    </r>
    <r>
      <rPr>
        <sz val="11"/>
        <color theme="1"/>
        <rFont val="Arial"/>
        <family val="2"/>
      </rPr>
      <t>(Project PTE  - Baseline Actual Emissions)</t>
    </r>
  </si>
  <si>
    <t>Increase ≥ Threshold?</t>
  </si>
  <si>
    <t>-</t>
  </si>
  <si>
    <t>*Cells J53:J60: if the row is visible, returns 1 if increase is = or &gt; threshold (summed in J61 for use in step 3 determination text)</t>
  </si>
  <si>
    <t>*Cells K53:K60: used only for nonattainment areas; returns 0 for regular criteria pollutants; returns 1 for nonattainment pollutants if increase is = or &gt; threshold (summed in K61 for use in step 3 determination text)</t>
  </si>
  <si>
    <t>*Cells L53:L60: used only for nonattainment areas; returns 0 for nonattainment pollutants; returns 1 for regular criteria pollutants if increase is = or &gt; threshold (summed in L61 for use in step 3 determination text)</t>
  </si>
  <si>
    <t>D. Step 4: Determine if the project emissions increase of the remaining regulated criteria and non-criteria pollutants is a major modification. Compare the project emissions increase for each remaining regulated pollutant to the associated significant level.</t>
  </si>
  <si>
    <t>Significant Level (tpy)</t>
  </si>
  <si>
    <t>Increase ≥ Significant Level?</t>
  </si>
  <si>
    <t>Best Available Control Technology</t>
  </si>
  <si>
    <r>
      <t xml:space="preserve">This sheet lists the practices and controls which represent Best Available Control Technology (BACT) for each specific unit in this project. BACT is required by 30 TAC §116.111(a)(2)(C).
</t>
    </r>
    <r>
      <rPr>
        <b/>
        <sz val="11"/>
        <color theme="1"/>
        <rFont val="Arial"/>
        <family val="2"/>
      </rPr>
      <t>Instructions:</t>
    </r>
    <r>
      <rPr>
        <sz val="11"/>
        <color theme="1"/>
        <rFont val="Arial"/>
        <family val="2"/>
      </rPr>
      <t xml:space="preserve">
1. Review the BACT with consideration given to the technical practicability and the economic reasonableness of reducing emissions from the facility.
2. Acceptance of the BACT for each unit is confirmed on the Special Conditions sheet.</t>
    </r>
  </si>
  <si>
    <t>I. Diesel-Fired Engines</t>
  </si>
  <si>
    <t>NOx: Meeting  EPA Tier 4I or 4F limits specified in NSPS Subpart IIII [40 CFR §60.4204(b), which references §60.4201(a), which references 40 CFR §1039.101, Table 1] and utilizing an SCR for engines equipped with an SCR. Have a non-resettable runtime meter.</t>
  </si>
  <si>
    <t>VOC: Limited hours of operation, good operating practices, and meeting the limits of 40 CFR §1039.101, Table 1. Have a non-resettable runtime meter.</t>
  </si>
  <si>
    <t>CO: Limited hours of operation, good operating practices, meeting the limits of 40 CFR §1039.101, Table 1, and utilizing an oxidation catalyst for engines equipped with one. Have a non-resettable runtime meter.</t>
  </si>
  <si>
    <r>
      <t>PM/PM</t>
    </r>
    <r>
      <rPr>
        <vertAlign val="subscript"/>
        <sz val="11"/>
        <color theme="1"/>
        <rFont val="Arial"/>
        <family val="2"/>
      </rPr>
      <t>10</t>
    </r>
    <r>
      <rPr>
        <sz val="11"/>
        <color theme="1"/>
        <rFont val="Arial"/>
        <family val="2"/>
      </rPr>
      <t>/PM</t>
    </r>
    <r>
      <rPr>
        <vertAlign val="subscript"/>
        <sz val="11"/>
        <color theme="1"/>
        <rFont val="Arial"/>
        <family val="2"/>
      </rPr>
      <t>2.5</t>
    </r>
    <r>
      <rPr>
        <sz val="11"/>
        <color theme="1"/>
        <rFont val="Arial"/>
        <family val="2"/>
      </rPr>
      <t>: Limited hours of operation and good operating practices. No visible emissions shall leave the property. Visible emissions shall be determined by a standard of no visible emissions exceeding 30 seconds in duration in any six-minute period as determined using EPA Test Method 22 or equivalent. Have a non-resettable runtime meter.</t>
    </r>
  </si>
  <si>
    <r>
      <t>SO</t>
    </r>
    <r>
      <rPr>
        <vertAlign val="subscript"/>
        <sz val="11"/>
        <color theme="1"/>
        <rFont val="Arial"/>
        <family val="2"/>
      </rPr>
      <t>2</t>
    </r>
    <r>
      <rPr>
        <sz val="11"/>
        <color theme="1"/>
        <rFont val="Arial"/>
        <family val="2"/>
      </rPr>
      <t xml:space="preserve"> and H</t>
    </r>
    <r>
      <rPr>
        <vertAlign val="subscript"/>
        <sz val="11"/>
        <color theme="1"/>
        <rFont val="Arial"/>
        <family val="2"/>
      </rPr>
      <t>2</t>
    </r>
    <r>
      <rPr>
        <sz val="11"/>
        <color theme="1"/>
        <rFont val="Arial"/>
        <family val="2"/>
      </rPr>
      <t>SO</t>
    </r>
    <r>
      <rPr>
        <vertAlign val="subscript"/>
        <sz val="11"/>
        <color theme="1"/>
        <rFont val="Arial"/>
        <family val="2"/>
      </rPr>
      <t>4</t>
    </r>
    <r>
      <rPr>
        <sz val="11"/>
        <color theme="1"/>
        <rFont val="Arial"/>
        <family val="2"/>
      </rPr>
      <t>: firing ultra-low sulfur diesel containing no more than 15 ppmw sulfur. Have a non-resettable runtime meter.</t>
    </r>
  </si>
  <si>
    <r>
      <t>NH</t>
    </r>
    <r>
      <rPr>
        <vertAlign val="subscript"/>
        <sz val="11"/>
        <color theme="1"/>
        <rFont val="Arial"/>
        <family val="2"/>
      </rPr>
      <t>3</t>
    </r>
    <r>
      <rPr>
        <sz val="11"/>
        <color theme="1"/>
        <rFont val="Arial"/>
        <family val="2"/>
      </rPr>
      <t xml:space="preserve"> (for engines with SCR): Comply with the EPA-required manufacturer’s maintenance schedule which will ensure that the add-on control system functions as originally designed and comply with the 10 ppmv at 3% O</t>
    </r>
    <r>
      <rPr>
        <vertAlign val="subscript"/>
        <sz val="11"/>
        <color theme="1"/>
        <rFont val="Arial"/>
        <family val="2"/>
      </rPr>
      <t>2</t>
    </r>
    <r>
      <rPr>
        <sz val="11"/>
        <color theme="1"/>
        <rFont val="Arial"/>
        <family val="2"/>
      </rPr>
      <t xml:space="preserve"> emissions on a 1-hour block average pursuant to 30 TAC §117.2010(i)(2). Have a non-resettable runtime meter.</t>
    </r>
  </si>
  <si>
    <t>MSS: Minimize duration and occurrence of MSS activities.</t>
  </si>
  <si>
    <t>II. Diesel Storage Tanks</t>
  </si>
  <si>
    <t>VOC: Fixed roof with submerged fill. Uninsulated exterior surfaces exposed to the sun shall be white or aluminum.</t>
  </si>
  <si>
    <t>MSS: Fixed roof tank send liquid to a covered vessel.</t>
  </si>
  <si>
    <t>Note: Urea Storage Tanks</t>
  </si>
  <si>
    <r>
      <t>The tank is not considered an emission source because urea has a vapor pressure less than 0.01 mm Hg at 104</t>
    </r>
    <r>
      <rPr>
        <sz val="11"/>
        <color theme="1"/>
        <rFont val="Calibri"/>
        <family val="2"/>
      </rPr>
      <t>⁰</t>
    </r>
    <r>
      <rPr>
        <sz val="11"/>
        <color theme="1"/>
        <rFont val="Arial"/>
        <family val="2"/>
      </rPr>
      <t>F (TCEQ's "When should a compound be considered an air contaminant" memo, September 19, 1996, linked below)</t>
    </r>
  </si>
  <si>
    <t>https://www.tceq.texas.gov/assets/public/permitting/air/memos/vapor4.pdf</t>
  </si>
  <si>
    <t>Air Quality Analysis</t>
  </si>
  <si>
    <r>
      <t xml:space="preserve">This sheet provides the Air Quality Analysis summary which was performed by the TCEQ in support of the RAP: PowerEngine.
</t>
    </r>
    <r>
      <rPr>
        <b/>
        <sz val="11"/>
        <color theme="1"/>
        <rFont val="Arial"/>
        <family val="2"/>
      </rPr>
      <t>Instructions:</t>
    </r>
    <r>
      <rPr>
        <sz val="11"/>
        <color theme="1"/>
        <rFont val="Arial"/>
        <family val="2"/>
      </rPr>
      <t xml:space="preserve">
1. Review the AQA.
2. Acceptance of the AQA is confirmed on the Special Conditions sheet.</t>
    </r>
  </si>
  <si>
    <t>To: Permit Staff
Thru: Daniel Menendez, Manager
Permit Support Section
From: Dan Jamieson
Permit Support Section
Date: September 26, 2018
Subject: Air Quality Analysis Report – Power Generation Engine</t>
  </si>
  <si>
    <t>I. Project Identification Information</t>
  </si>
  <si>
    <t>An air quality analysis (AQA) was performed in support of the power generation engine readily available permit (RAP). This AQA report summarizes the model inputs and the results obtained from the analysis.</t>
  </si>
  <si>
    <t>II. Report Summary</t>
  </si>
  <si>
    <t>Generic modeling was conducted to determine maximum emission rates that yield predictions that are less than thresholds used in air quality impacts analyses. The thresholds include the following: for criteria pollutants – significant impact levels (SILs); for pollutants with a state property line (SPL) standard – two percent of the associated SPL standard; for pollutants with an Effects Screening Level (ESL) – ten percent of the associated ESL (ammonia and tank standing losses for diesel), two times the 1-hr ESL (tank filling for diesel), and the annual ESL (tank filling for diesel). Given that the threshold for 1-hr diesel is two times the ESL for tank filling, and that all receptors are being evaluated as non-industrial, the diesel tank filling emissions will be limited to no more than 24 hours per year total. The results are summarized below.
Table 1 contains the generic modeling results. The 3-hr, 8-hr, 24-hr, and annual maximum predicted concentrations were derived by multiplying the 1-hr maximum predicted concentration by 0.9, 0.7, 0.4, and 0.08, respectively. Table 2 contains the thresholds used in the analysis for the various review types. Table 3 contains the maximum emission rates, both hourly and ton per year, for each pollutant. For pollutants with multiple short-term thresholds (24-hr or less) or evaluated for multiple review types (e.g., SO2), the maximum hourly emission rate represents the lowest emission rate. The tons per year values for engine emissions (all pollutants except diesel) are based on the maximum hourly emissions and 300 hours of operation, which is an operational limitation for this RAP.</t>
  </si>
  <si>
    <t>Table 1. Generic Modeling Results</t>
  </si>
  <si>
    <t>Source</t>
  </si>
  <si>
    <t>Averaging Time</t>
  </si>
  <si>
    <r>
      <t>GLCmax (µg/m</t>
    </r>
    <r>
      <rPr>
        <sz val="10"/>
        <color theme="1"/>
        <rFont val="Arial"/>
        <family val="2"/>
      </rPr>
      <t>3</t>
    </r>
    <r>
      <rPr>
        <b/>
        <sz val="10"/>
        <color theme="1"/>
        <rFont val="Arial"/>
        <family val="2"/>
      </rPr>
      <t>) per lb/hr</t>
    </r>
  </si>
  <si>
    <t>Engine</t>
  </si>
  <si>
    <t>1-hr</t>
  </si>
  <si>
    <t>3-hr</t>
  </si>
  <si>
    <t>8-hr</t>
  </si>
  <si>
    <t>24-hr</t>
  </si>
  <si>
    <t>Annual</t>
  </si>
  <si>
    <t>Tank</t>
  </si>
  <si>
    <t>Table 2. Analysis Thresholds</t>
  </si>
  <si>
    <t>Review Type</t>
  </si>
  <si>
    <r>
      <t>Threshold (µg/m</t>
    </r>
    <r>
      <rPr>
        <sz val="10"/>
        <color theme="1"/>
        <rFont val="Arial"/>
        <family val="2"/>
      </rPr>
      <t>3</t>
    </r>
    <r>
      <rPr>
        <b/>
        <sz val="10"/>
        <color theme="1"/>
        <rFont val="Arial"/>
        <family val="2"/>
      </rPr>
      <t>)</t>
    </r>
  </si>
  <si>
    <r>
      <t>SO</t>
    </r>
    <r>
      <rPr>
        <vertAlign val="subscript"/>
        <sz val="10"/>
        <color theme="1"/>
        <rFont val="Arial"/>
        <family val="2"/>
      </rPr>
      <t>2</t>
    </r>
  </si>
  <si>
    <t>SIL</t>
  </si>
  <si>
    <r>
      <t>PM</t>
    </r>
    <r>
      <rPr>
        <vertAlign val="subscript"/>
        <sz val="10"/>
        <color theme="1"/>
        <rFont val="Arial"/>
        <family val="2"/>
      </rPr>
      <t>10</t>
    </r>
  </si>
  <si>
    <r>
      <t>PM</t>
    </r>
    <r>
      <rPr>
        <vertAlign val="subscript"/>
        <sz val="10"/>
        <color theme="1"/>
        <rFont val="Arial"/>
        <family val="2"/>
      </rPr>
      <t>2.5</t>
    </r>
  </si>
  <si>
    <r>
      <t>NO</t>
    </r>
    <r>
      <rPr>
        <vertAlign val="subscript"/>
        <sz val="10"/>
        <color theme="1"/>
        <rFont val="Arial"/>
        <family val="2"/>
      </rPr>
      <t>2</t>
    </r>
  </si>
  <si>
    <t>SPL</t>
  </si>
  <si>
    <r>
      <t>H</t>
    </r>
    <r>
      <rPr>
        <vertAlign val="subscript"/>
        <sz val="10"/>
        <color theme="1"/>
        <rFont val="Arial"/>
        <family val="2"/>
      </rPr>
      <t>2</t>
    </r>
    <r>
      <rPr>
        <sz val="10"/>
        <color theme="1"/>
        <rFont val="Arial"/>
        <family val="2"/>
      </rPr>
      <t>SO</t>
    </r>
    <r>
      <rPr>
        <vertAlign val="subscript"/>
        <sz val="10"/>
        <color theme="1"/>
        <rFont val="Arial"/>
        <family val="2"/>
      </rPr>
      <t>4</t>
    </r>
  </si>
  <si>
    <r>
      <t>NH</t>
    </r>
    <r>
      <rPr>
        <vertAlign val="subscript"/>
        <sz val="10"/>
        <color theme="1"/>
        <rFont val="Arial"/>
        <family val="2"/>
      </rPr>
      <t>3</t>
    </r>
  </si>
  <si>
    <t>ESL</t>
  </si>
  <si>
    <t>Diesel (standing)</t>
  </si>
  <si>
    <t>Diesel (filling)</t>
  </si>
  <si>
    <r>
      <t>The justification for selecting the EPA’s interim 1-hr SO</t>
    </r>
    <r>
      <rPr>
        <sz val="8"/>
        <color theme="1"/>
        <rFont val="Arial"/>
        <family val="2"/>
      </rPr>
      <t>2</t>
    </r>
    <r>
      <rPr>
        <sz val="11"/>
        <color theme="1"/>
        <rFont val="Arial"/>
        <family val="2"/>
      </rPr>
      <t xml:space="preserve"> and 1-hr NO</t>
    </r>
    <r>
      <rPr>
        <sz val="8"/>
        <color theme="1"/>
        <rFont val="Arial"/>
        <family val="2"/>
      </rPr>
      <t>2</t>
    </r>
    <r>
      <rPr>
        <sz val="11"/>
        <color theme="1"/>
        <rFont val="Arial"/>
        <family val="2"/>
      </rPr>
      <t xml:space="preserve"> De Minimis levels was based on the assumptions underlying EPA’s development of the 1-hr SO</t>
    </r>
    <r>
      <rPr>
        <sz val="8"/>
        <color theme="1"/>
        <rFont val="Arial"/>
        <family val="2"/>
      </rPr>
      <t>2</t>
    </r>
    <r>
      <rPr>
        <sz val="11"/>
        <color theme="1"/>
        <rFont val="Arial"/>
        <family val="2"/>
      </rPr>
      <t xml:space="preserve"> and 1-hr NO</t>
    </r>
    <r>
      <rPr>
        <sz val="8"/>
        <color theme="1"/>
        <rFont val="Arial"/>
        <family val="2"/>
      </rPr>
      <t>2</t>
    </r>
    <r>
      <rPr>
        <sz val="11"/>
        <color theme="1"/>
        <rFont val="Arial"/>
        <family val="2"/>
      </rPr>
      <t xml:space="preserve"> De Minimis levels. As explained in EPA guidance memoranda, the EPA believes it is reasonable as an interim approach to use a De Minimis level that represents 4% of the 1-hr SO</t>
    </r>
    <r>
      <rPr>
        <sz val="8"/>
        <color theme="1"/>
        <rFont val="Arial"/>
        <family val="2"/>
      </rPr>
      <t>2</t>
    </r>
    <r>
      <rPr>
        <sz val="11"/>
        <color theme="1"/>
        <rFont val="Arial"/>
        <family val="2"/>
      </rPr>
      <t xml:space="preserve"> and 1-hr NO</t>
    </r>
    <r>
      <rPr>
        <sz val="8"/>
        <color theme="1"/>
        <rFont val="Arial"/>
        <family val="2"/>
      </rPr>
      <t>2</t>
    </r>
    <r>
      <rPr>
        <sz val="11"/>
        <color theme="1"/>
        <rFont val="Arial"/>
        <family val="2"/>
      </rPr>
      <t xml:space="preserve"> NAAQS. 
</t>
    </r>
  </si>
  <si>
    <t>www.epa.gov/sites/production/files/2015-07/documents/appwso2.pdf</t>
  </si>
  <si>
    <t>www.tceq.texas.gov/assets/public/permitting/air/memos/guidance_1hr_no2naaqs.pdf</t>
  </si>
  <si>
    <t>The PM2.5 De Minimis levels are the EPA recommended De Minimis levels. The use of the EPA recommended De Minimis levels is sufficient to conclude that a source will not cause or contribute to a violation of a PM2.5 NAAQS based on the analyses documented in EPA guidance and policy memoranda.</t>
  </si>
  <si>
    <t>www.tceq.texas.gov/permitting/air/modeling/epa-mod-guidance.html</t>
  </si>
  <si>
    <t>Table 3. Maximum Emission Rates</t>
  </si>
  <si>
    <t>Maximum Emission Rate (lb/hr or tpy)</t>
  </si>
  <si>
    <t>Short-term</t>
  </si>
  <si>
    <t>Long-term</t>
  </si>
  <si>
    <t>III. Model Used and Modeling Techniques</t>
  </si>
  <si>
    <t>SCREEN3 (Version 13043) was used.
An emission rate of 1 lb/hr was used to predict a generic 1-hr concentration from an engine and a diesel tank. As noted above, the 1-hr maximum predicted concentration was multiplied by 0.9, 0.7, 0.4, and 0.08, to get generic predictions for the 3-hr, 8-hr, 24-hr, and annual averaging times, respectively. The generic concentrations were then used with the thresholds listed above in Table 2 to determine maximum emissions that yield predictions that are less than the thresholds.
A. Land Use: Modeling was conducted using both rural and urban dispersion coefficients. The worst-case predictions were then used in the subsequent analyses. Flat terrain was used in the modeling analysis. Flat terrain is reasonable to use since it is consistent with typical site locations for these facilities and given that the maximum modeled predictions occur near the modeled source.
B. Meteorological Data: The full meteorology option was selected in the modeling analysis.
Additional model runs were conducted for the diesel tank using stability class 6 and a wind speed of 1.5 m/s. These selections are appropriate because stability class 6 is the worst-case stability and 1.5 m/s is the worst-case wind speed for low-level fugitive emissions. The National Weather Service considers wind speeds less than 1.5 m/s to be calm.</t>
  </si>
  <si>
    <t>C. Receptor Grid: Receptors in the modeling analysis were generated using the automated distance option from 1 meter out to 50 kilometers.
D. Building Wake Effects (Downwash): Two different cases were considered for the downwash analysis. Case 1 is a scenario in which there are no nearby structures; only the engine housing structure is used as input. The dimensions for a typical engine housing structure were used (horizontal dimension of approximately 30 feet by 10 feet, and a vertical dimension of 10 feet). Case 2 is a scenario that considers a nearby structure larger than the engine housing structure. The dimensions for the nearby structure are representative of a typical building (horizontal dimension of approximately 40 feet by 40 feet, and a vertical dimension of 25 feet). The worst-case predictions were then used in the subsequent analyses.
Building downwash was not considered for the diesel tank. The diesel tank emissions were characterized as an area source and downwash is not applicable for area source modeling.</t>
  </si>
  <si>
    <t>IV. Modeling Emissions Inventory</t>
  </si>
  <si>
    <t>The power generation engine has emissions from a stack and emissions that are fugitive in nature. The determination of the modeled source parameters was based on a review of previously submitted permit applications for power generation engine projects and selecting representative source parameters. Each modeled source is further described below, and the modeled source parameters are summarized in Tables 4 and 5.
Engine: This modeled source represents the engine stack and it was modeled as a point source using the parameters listed in Table 4.
Tank: This modeled source represents fugitive emissions from the diesel tank and it was modeled as an area source using the parameters listed in Table 5. The horizontal dimensions of the area source are based on the dimensions for a typical engine housing structure. The release height was based on how emissions may escape the engine housing structure – primarily from vents located along the sides of the engine housing structure near the top, as well as from any doors that may be opened.</t>
  </si>
  <si>
    <t>Table 4. Point Source Parameter Information</t>
  </si>
  <si>
    <t>Release Height (ft)</t>
  </si>
  <si>
    <t>Exit Temperature (°F)</t>
  </si>
  <si>
    <t xml:space="preserve">Exit Velocity (ft/sec) </t>
  </si>
  <si>
    <t>Exit Diameter (ft)</t>
  </si>
  <si>
    <t>Table 5. Area Source Parameter Information</t>
  </si>
  <si>
    <t>Length (ft)</t>
  </si>
  <si>
    <t xml:space="preserve">Width (ft) </t>
  </si>
  <si>
    <r>
      <t>To account for conversion of NO</t>
    </r>
    <r>
      <rPr>
        <sz val="8"/>
        <color theme="1"/>
        <rFont val="Arial"/>
        <family val="2"/>
      </rPr>
      <t>x</t>
    </r>
    <r>
      <rPr>
        <sz val="11"/>
        <color theme="1"/>
        <rFont val="Arial"/>
        <family val="2"/>
      </rPr>
      <t xml:space="preserve"> to NO</t>
    </r>
    <r>
      <rPr>
        <sz val="8"/>
        <color theme="1"/>
        <rFont val="Arial"/>
        <family val="2"/>
      </rPr>
      <t>2</t>
    </r>
    <r>
      <rPr>
        <sz val="11"/>
        <color theme="1"/>
        <rFont val="Arial"/>
        <family val="2"/>
      </rPr>
      <t>, a factor of 0.9 was used in the analysis. A factor of 0.9 is the maximum default value for ARM2, and the use of ARM2 is consistent with EPA guidance for conducting a Tier 2 screening approach.
When the maximum diesel emissions that yield predictions that are less than the thresholds were determined, a fugitive adjustment factor of 0.6 was applied to the generic concentrations of the tank. This is consistent with TCEQ guidance for these types of sources.
For the 1-hr NO</t>
    </r>
    <r>
      <rPr>
        <sz val="8"/>
        <color theme="1"/>
        <rFont val="Arial"/>
        <family val="2"/>
      </rPr>
      <t>2</t>
    </r>
    <r>
      <rPr>
        <sz val="11"/>
        <color theme="1"/>
        <rFont val="Arial"/>
        <family val="2"/>
      </rPr>
      <t xml:space="preserve"> analysis, emissions from the power generation engine were evaluated with an annual average emission rate, consistent with EPA guidance for evaluating intermittent emissions. The emissions from the engine are based on 300 hours per year of operation.</t>
    </r>
  </si>
  <si>
    <t>Toxicology Review</t>
  </si>
  <si>
    <r>
      <t xml:space="preserve">This sheet provides the toxicology health effects review of diesel emissions which was performed by the TCEQ in support of the RAP: PowerEngine.
</t>
    </r>
    <r>
      <rPr>
        <b/>
        <sz val="11"/>
        <color theme="1"/>
        <rFont val="Arial"/>
        <family val="2"/>
      </rPr>
      <t>Instructions:</t>
    </r>
    <r>
      <rPr>
        <sz val="11"/>
        <color theme="1"/>
        <rFont val="Arial"/>
        <family val="2"/>
      </rPr>
      <t xml:space="preserve">
1. Review the memo.
2. Acceptance of the memo is confirmed on the Special Conditions sheet.</t>
    </r>
  </si>
  <si>
    <t>To: Permit Staff
Air Permits Division
From: Tiffany Bredfeldt, Ph.D.
Toxicology Division
Subject: Health effects review of emissions from the Readily Available Permit for Engine Power Generation (Tox Control No. RAP 001)</t>
  </si>
  <si>
    <t>Generic screen modeling (SCREEN3) was conducted to determine maximum emission rates that yield predictions that are less than thresholds used in air quality impacts analyses. The threshold for ammonia emissions from tank standing loss is set at 10% of the associated Effects Screening Level (ESL). The thresholds for diesel emissions from tank loading are set at two times the 1-hour (hr) ESL and the annual ESL. The corresponding maximum emission rates are limited to 0.129 lb/hr and 0.0193 tpy for ammonia and are limited to 0.43 lb/hr and 1.17 tpy for diesel. The sources contemplated in this permitting action are limited to 10 diesel-fired engines and the associated diesel storage tanks (up to 10). Only one tank may be loaded at a time and the combined loading of all tanks must be less than 24 hours per year. Given the conservatism in the model, all receptors are being evaluated as non-industrial receptors, the limitations on this permit, and the overall impacts for ammonia and diesel meet their respective threshold, these emissions are allowable.</t>
  </si>
  <si>
    <t>In conclusion, we do not anticipate any short- or long-term adverse health effects to occur among the general public as a result of exposure to the proposed emissions from this facility. If you have further questions, please contact me at the following phone number 512-239-1799 or e-mail address tiffany.bredfeldt@tceq.texas.gov.</t>
  </si>
  <si>
    <t>Special Conditions</t>
  </si>
  <si>
    <t>I. Special Conditions</t>
  </si>
  <si>
    <t>Section Title</t>
  </si>
  <si>
    <t>Special Condition Language</t>
  </si>
  <si>
    <t>N/A</t>
  </si>
  <si>
    <t>Federal and State Applicability</t>
  </si>
  <si>
    <t>2. The facility shall comply with applicable requirements of the EPA regulations on Standards of Performance for New Stationary Sources, 40 CFR Part 60:</t>
  </si>
  <si>
    <t>A. Subpart A: General Provisions</t>
  </si>
  <si>
    <t>B. Subpart IIII: Standards of Performance for Stationary Compression Ignition Internal Combustion Engines</t>
  </si>
  <si>
    <t>3. The facility shall comply with applicable requirements of the EPA regulations on National Emission Standards for Hazardous Air Pollutants for Source Categories, 40 CFR Part 63:</t>
  </si>
  <si>
    <t>B. Subpart ZZZZ: National Emission Standard for Hazardous Air Pollutants for Stationary Reciprocating Internal Combustion Engines</t>
  </si>
  <si>
    <t>A. For specific manufacturer’s recommended testing requiring a run of over 18 consecutive hours; or</t>
  </si>
  <si>
    <t>B. To verify reliability of emergency equipment (e.g., emergency generators or pumps) immediately after unforeseen repairs. Routine maintenance such as an oil change is not considered to be an unforeseen repair.</t>
  </si>
  <si>
    <t>Emission Standards and Operating Specifications</t>
  </si>
  <si>
    <t>A. No more than one diesel tank may be filled at the same time.</t>
  </si>
  <si>
    <t>B. The combined diesel tank filling operations must not occur more than 24 hours per rolling 12-month period.</t>
  </si>
  <si>
    <t>C. The combined sitewide maximum diesel tank(s) VOC emission limit is 0.43 pounds per hour.</t>
  </si>
  <si>
    <t>Recordkeeping</t>
  </si>
  <si>
    <t>A. A copy of this permit.</t>
  </si>
  <si>
    <t>B. The initial permit application and subsequent representations submitted to the TCEQ.</t>
  </si>
  <si>
    <t>C. A copy of each engine's manufacturer’s design and operation specifications and all emission-related maintenance requirements.</t>
  </si>
  <si>
    <t>A. Hours of operation kept on a monthly and rolling 12-month basis. Hours of operation shall be summed for all engines at the site authorized through the RAP program.</t>
  </si>
  <si>
    <t>B. Records of fuel delivery indicating date, quantity of fuel delivered, and duration of tank filling activity for each tank.</t>
  </si>
  <si>
    <t>C. Records of the fuel sulfur content. The analysis may be performed by the permit holder, service contractor, the fuel vendor, or any other qualified agency.</t>
  </si>
  <si>
    <t>D. Records of engine maintenance, including replacement of control system components, media, and sensors, if present.</t>
  </si>
  <si>
    <t>Acronyms</t>
  </si>
  <si>
    <t>40 CFR Part 60: Title 40 Code of Federal Regulations Part 60</t>
  </si>
  <si>
    <t>30 TAC: Title 30 Texas Administrative Code</t>
  </si>
  <si>
    <t xml:space="preserve">EPA: U.S. Environmental Protection Agency </t>
  </si>
  <si>
    <t>ppmw: parts per million by weight</t>
  </si>
  <si>
    <t>RAP: Readily Available Permit</t>
  </si>
  <si>
    <t>TCEQ: Texas Commission on Environmental Quality</t>
  </si>
  <si>
    <t>II. Applicant Confirmation</t>
  </si>
  <si>
    <t>I have reviewed and agree to the following representations in this workbook: BACT; emission rates; the draft permit; the Air Quality Analysis; and all other representations made in this application workbook. In addition, this workbook is submitted as part of my application and accurately represents my proposed project.</t>
  </si>
  <si>
    <t>Confirm that you agree with the statement above by electronically signing (typing) your name here.</t>
  </si>
  <si>
    <t>Project Summary</t>
  </si>
  <si>
    <t>FORMULA</t>
  </si>
  <si>
    <t>RED</t>
  </si>
  <si>
    <t>This sheet gathers information from all over the workbook and organizes it in a way that is easier for permit reviewers to copy and paste into their review documents.</t>
  </si>
  <si>
    <t>Administrative Project Information</t>
  </si>
  <si>
    <t>Company</t>
  </si>
  <si>
    <t>City</t>
  </si>
  <si>
    <t>Project Type</t>
  </si>
  <si>
    <t>Facility Name</t>
  </si>
  <si>
    <t>Permit Number</t>
  </si>
  <si>
    <t>RN</t>
  </si>
  <si>
    <t>CN</t>
  </si>
  <si>
    <t>Site Name</t>
  </si>
  <si>
    <t>Project Overview</t>
  </si>
  <si>
    <t>Emission Summary</t>
  </si>
  <si>
    <t>Air Contaminant</t>
  </si>
  <si>
    <t>Current Allowable Emission Rates (tpy)</t>
  </si>
  <si>
    <t>Project Allowable Emission Rates (tpy)</t>
  </si>
  <si>
    <t>Change in Allowable Emissions (tpy)</t>
  </si>
  <si>
    <t>Project Emissions Increase (Baseline Actual to Allowable) (tpy) </t>
  </si>
  <si>
    <r>
      <t>NH</t>
    </r>
    <r>
      <rPr>
        <vertAlign val="subscript"/>
        <sz val="11"/>
        <color theme="1"/>
        <rFont val="Arial"/>
        <family val="2"/>
      </rPr>
      <t>3</t>
    </r>
  </si>
  <si>
    <t>Public Notice Information</t>
  </si>
  <si>
    <t>Emission Sources</t>
  </si>
  <si>
    <t>Unit Type</t>
  </si>
  <si>
    <t>FINs</t>
  </si>
  <si>
    <t>Diesel-fired engine</t>
  </si>
  <si>
    <t>Diesel Storage Tank</t>
  </si>
  <si>
    <t>Requirements</t>
  </si>
  <si>
    <t>Federal Applicability</t>
  </si>
  <si>
    <t>Prevention of Significant Deterioration</t>
  </si>
  <si>
    <t>Nonattainment</t>
  </si>
  <si>
    <t>General Requirements</t>
  </si>
  <si>
    <t>Permit fee</t>
  </si>
  <si>
    <t>Impacts Analysis</t>
  </si>
  <si>
    <t>Is there a school within 3000 ft of any facility authorized by this permit?</t>
  </si>
  <si>
    <t>Maximum Allowable Emission Rate Table</t>
  </si>
  <si>
    <t>Short-Term Emission Rate (lb/hr)</t>
  </si>
  <si>
    <t>Annual Emission Rate (tpy)</t>
  </si>
  <si>
    <t>Yes</t>
  </si>
  <si>
    <t>Accessiblity Note</t>
  </si>
  <si>
    <t>The Figure below is an example of the process-  Ex) Diesel fuel is received from a truck and routed to storage tank 1 to 10. Tank emissions are emitted from EPN TANK1 to TANK10. The fuel is routed to Engine 1 to Engine 10. Engine exhaust is emitted from EPN ENGINE1 to ENGINE10. Electricity is produced by the engine.</t>
  </si>
  <si>
    <t>https://www.tceq.texas.gov/permitting/air/guidance/newsourcereview/nsrapp-tools.html</t>
  </si>
  <si>
    <t>Notes:
1. Baseline emissions years:
   -The baseline period is determined by a consecutive 24-month period and is not required to be on a calendar year basis.
   -You must use the same 24 months for a single pollutant.
   -The selected baseline period must be in the contemporaneous period.
   -Baseline actual emissions must be taken from the past 10 years.
2. Baseline emissions:
   -Enter the average over the baseline period.
   -The values cannot exceed the currently authorized emission rate.
   -The values must be relatively consistent with data from emissions inventory.</t>
  </si>
  <si>
    <t>As requested, we conducted a health effects review of air emissions from the Readily Available Permit (RAP) for engine power generation. The RAP is a type of New Source Review (NSR) permit for a facility that is granted based upon emissions calculations, equipment, and site- specific parameters. Thus, permits of this type include parameters that must be satisfied before the application is submitted to the agency. The purpose of this RAP is to authorize the operation of up to ten engines and the associated diesel storage tanks for power generations. The engines and tanks may be in a greenfield or an existing site. Sources permitted under this RAP will be considered all new to the site. The goal of the following health effects review is to evaluate the modeled emissions from engines and the diesel storage tank predicted to occur at this facility and whether these emissions would be of concern to human health and welfare (odor and vegetation).</t>
  </si>
  <si>
    <t>5. All engines authorized through the RAP program shall not exceed a combined 300 hours of operation per rolling 12-month period.</t>
  </si>
  <si>
    <t>6. A non-resettable run time meter shall be installed on each engine.</t>
  </si>
  <si>
    <t>7. Each engine and after-treatment control device (if present) shall be operated and maintained according to the manufacturer's emission-related written instructions.</t>
  </si>
  <si>
    <t>8. Startup and shutdown of the engine(s), where the after-treatment control device is not controlling emissions, shall not exceed 30 minutes per event.</t>
  </si>
  <si>
    <t>9. No visible emissions shall leave the property. Visible emissions shall be determined by a standard of no visible emissions exceeding 30 seconds in duration in any six-minute period as determined using EPA Test Method (TM 22) or equivalent.</t>
  </si>
  <si>
    <t>10 .The following requirements apply to the site:</t>
  </si>
  <si>
    <t>11. Fuel fired in each engine is limited to diesel containing no more than 15 ppmw sulfur.</t>
  </si>
  <si>
    <t>12. The following records shall be kept at the plant for the life of the permit. All records required in this permit shall be made available at the request of personnel from the TCEQ, EPA, or any air pollution control agency with jurisdiction:</t>
  </si>
  <si>
    <t>13. The following information shall be maintained by the holder of this permit in a form suitable for inspection for a period of five years after collection and shall be made available upon request to representatives of the TCEQ, EPA, or any local air pollution control program having jurisdiction:</t>
  </si>
  <si>
    <t>E. Records of visible emissions, opacity observations, and any corrective actions taken to demonstrate compliance with Special Condition No. 9</t>
  </si>
  <si>
    <t>The following qualification criteria must be met in order to submit an application for the RAP: PowerEngine.</t>
  </si>
  <si>
    <t>1. The project is for up to ten diesel-fired engines and up to ten associated diesel storage tanks.</t>
  </si>
  <si>
    <t>2. The engines are limited to a combined total of 300 hours of operation per rolling 12-month period. This limit applies collectively to all engines at the site which are authorized by a RAP: PowerEngine.</t>
  </si>
  <si>
    <t>3. Maximum emission rates are listed on the engine and tank sheets of this workbook. These maximums represent the combined maximum for all engines at the site authorized by a RAP and all diesel tanks at the site authorized by a RAP.</t>
  </si>
  <si>
    <t>4. Project emission increases represented in this RAP will not exceed the PSD or Nonattainment NSR major source thresholds at existing minor sites or netting thresholds at existing major sites. Emission decreases are not to be included when determining project emission increases.</t>
  </si>
  <si>
    <t>5. There are no upstream or downstream production increases as a result of this project. There is no increase to actual emission rates for sources outside of this current RAP workbook. See Title 30 Texas Administrative Code (TAC) Chapter 116 for additional information.</t>
  </si>
  <si>
    <t xml:space="preserve">7. The customer has a compliance history classification of Satisfactory or High (further information on compliance history classifications and details on obtaining a compliance history report can be found at the links listed at the end of this sheet).
</t>
  </si>
  <si>
    <t>8. The facility will comply with all of the following, as listed in this workbook:
     • Emission sources and rates;
     • Best Available Control Technology (BACT);
     • The Air Quality Analysis;
     • Special Conditions; and
     • Representations made in this application workbook.</t>
  </si>
  <si>
    <t>test</t>
  </si>
  <si>
    <t>maximum of 0.021 lb/hr*</t>
  </si>
  <si>
    <t>maximum of 0.430 lb/hr*</t>
  </si>
  <si>
    <t>maximum of 0.095 tpy**</t>
  </si>
  <si>
    <t>Tank Sum Text Logic (lb/hr)</t>
  </si>
  <si>
    <t>Tank Sum Text Logic (tpy)</t>
  </si>
  <si>
    <t>**If the Total Tank Emissions exceeds the RAP limit but Max Tank Emissions does not, tanks must comply with the RAP limit. The tpy maximums listed represent the combined maximum for all tanks at the site authorized by a RAP. For example, if there is one tank, the maximum tpy emission rate is 0.095. If there are two tanks, the combined maximum tpy emission rate is 0.095.</t>
  </si>
  <si>
    <t>*If the Total Tank Emissions exceeds the RAP limit but Max Tank Emissions does not, tanks must comply with the RAP limit. The lb/hr maximums listed represent the combined maximum for all tanks at the site authorized by a RAP operating at any given time. For example, if one tank is in service, the maximum combined standing emissions is 0.021 lb/hr and the maximum combined filling emissions is 0.430 lb/hr. If two tanks in service at the same time, the maximum combined standing emissions is 0.021 lb/hr and the maximum combined filling emissions is 0.430 lb/hr.</t>
  </si>
  <si>
    <t>*The lb/hr maximums listed represent the combined maximum for all tanks at the site authorized by a RAP operating at any given time. For example, if one tank is in service, the maximum combined standing emissions is 0.021 lb/hr and the maximum combined filling emissions is 0.430 lb/hr. If two tanks in service at the same time, the maximum combined standing emissions is 0.021 lb/hr and the maximum combined filling emissions is 0.430 lb/hr.</t>
  </si>
  <si>
    <t>**The tpy maximums listed represent the combined maximum for all tanks at the site authorized by a RAP. The tpy maximums listed represent the combined maximum for all tanks at the site authorized by a RAP. For example, if there is one tank, the maximum tpy emission rate is 0.095. If there are two tanks, the combined maximum tpy emission rate is 0.095.</t>
  </si>
  <si>
    <t>*CND 4 - check for updates to Nonattainment 117.10 (C) + Brazoria, Chambers, Fort Bend, Galveston, Harris, Liberty, Montgomery, and Waller Counties.
+117.2130
**There may be a coming change for Public Notice regarding proof of display (noted during demo)</t>
  </si>
  <si>
    <t>Maximum Engine Emissions (lb/hr)</t>
  </si>
  <si>
    <t>Maximum Engine Emissions (tpy)</t>
  </si>
  <si>
    <t>RAP Limit (tpy)*</t>
  </si>
  <si>
    <t>RAP Limit (lb/hr)*</t>
  </si>
  <si>
    <t>Total Emissions</t>
  </si>
  <si>
    <t>RAP Limit</t>
  </si>
  <si>
    <t>Max Emissions</t>
  </si>
  <si>
    <t>Emission Type</t>
  </si>
  <si>
    <t>This sheet assists in this determination of public notice requirements and is not a replacement for 30 TAC Chapter 39 (Public Notice). The THSC §382.056 and corresponding rules in 30 TAC Chapter 39 (Public Notice) require that you publish a notice of intent to obtain a permit and notice of preliminary decision. Notices must be published in a newspaper of general circulation in the municipality where the proposed facility is or will be located (not applicable to alternative language notices). The notices must include a description of the facility and the fact that a person who may be affected by emissions from the facility may request a public hearing and any other information the TCEQ requires by rule. Signs must also be posted at the site in compliance with 30 TAC Chapter §39.604(c). Please review 30 TAC §39.426 for alternative language requirements for public participation processes that also may be applicable. Additional information regarding public notice such as an overview of requirements, an applicability table, and a list of some common errors that may cause renotice and delays in processing your application can be found at the link below:</t>
  </si>
  <si>
    <t xml:space="preserve">6. General sitewide MSS activities not associated with the engines authorized in this RAP are not included in this project and are not authorized by this RAP. </t>
  </si>
  <si>
    <r>
      <t xml:space="preserve">This sheet provides administrative and technical information needed by the TCEQ and is required for a RAP: PowerEngine application.
</t>
    </r>
    <r>
      <rPr>
        <b/>
        <sz val="11"/>
        <color theme="1"/>
        <rFont val="Arial"/>
        <family val="2"/>
      </rPr>
      <t xml:space="preserve">
Instructions:
</t>
    </r>
    <r>
      <rPr>
        <sz val="11"/>
        <color theme="1"/>
        <rFont val="Arial"/>
        <family val="2"/>
      </rPr>
      <t>1. Complete all sections below.</t>
    </r>
  </si>
  <si>
    <r>
      <t>Process Flow Diagram-</t>
    </r>
    <r>
      <rPr>
        <b/>
        <sz val="14"/>
        <color rgb="FFFF0000"/>
        <rFont val="Arial"/>
        <family val="2"/>
      </rPr>
      <t>THIS TAB IS NOT UTILIZED IN THE CURRENT VERSION, BUT REMAINS INCASE OPTION BECOME ALLOWABLE</t>
    </r>
  </si>
  <si>
    <t>Is the process flow diagram sufficiently descriptive so the permit reviewer can determine the raw materials to be used in the process; all major processing steps and major equipment items; individual emission points associated with each process step; the location and identification of all emission abatement devices; and the location and identification of all waste streams (including wastewater streams that may have associated air emissions)?</t>
  </si>
  <si>
    <t>D. Is a process flow diagram attached?</t>
  </si>
  <si>
    <t>Blank cells are used in this workbook.  "Helper" cells add information to tables are included that might be merged with other cells to make text easier to read.</t>
  </si>
  <si>
    <t>This sheet details tank specifications and presents emission rates for up to ten diesel tanks.
Instructions:
1. Select the number of tanks included in this project on the PI-1-PowerEngine sheet. Conditional formatting will grey out not applicable sections based on this response.
2. Complete all information below for each diesel tank included in this project.
3. Losses from each tank should be determined using the latest storage tank emission calculations or approved calculation software. Output files must be provided with the application.
4. Enter emission rate limits below to compare limits. 
Note: Section I represents the EPN and the emission limit for all tank(s) for this permit. The maximum lb/hr for each individual tank is listed in Section II. Individual tank emission limits cannot exceed the RAP limit.  Section III compares the total and maxium emission limits of all tanks against the RAP limit.  Total tank emission limits cannot exceed the RAP limit.</t>
  </si>
  <si>
    <t>1. This permit authorizes emissions only from those emission points listed in the attached table entitled “Emission Sources - Maximum Allowable Emission Rate,” and the facilities covered by this permit are authorized to emit subject to the emission rate limits on that table and other operating conditions specified in this permit. Also, this permit authorizes the emissions from planned maintenance, startup, and shutdown.</t>
  </si>
  <si>
    <t>B. Is public notice required for this project as represented in this workbook?</t>
  </si>
  <si>
    <t>Is a Plain Language Summary as required by 30 TAC § 39.405(k) provided with the application?</t>
  </si>
  <si>
    <t>Is a Plain Language Summary in an alternative language as required by 30 TAC § 39.426(c) provided with the application?</t>
  </si>
  <si>
    <t>IV. Plain Language Summary</t>
  </si>
  <si>
    <t>Applications deemed administratively complete by May 1, 2022 must provide a plain language summary of the application to be posted on the TCEQ website. Templates can be found at the link below.</t>
  </si>
  <si>
    <t>TBD</t>
  </si>
  <si>
    <t>Initial</t>
  </si>
  <si>
    <t>The permit reviewer has verified that all public notice requirements were satisfactorily completed for the proposed permit. The permit holder was required to publish Notice of Receipt of Application and Intent to Obtain Permit “First Public Notice” under 30 TAC §39.418. The permit holder was also required to publish Notice of Application and Preliminary Decision “Second Public Notice” under 30 TAC §39.419. The notices were consolidated under 30 TAC §39.603(d).
The newspaper notice listed the following pollutants, as required under 30 TAC §39.411(e)(10): carbon monoxide, oxides of nitrogen, sulfur dioxide, organic compounds, particulate matter including particulate matter with diameters of 10 microns or less and 2.5 microns or less, ammonia, and sulfuric acid.</t>
  </si>
  <si>
    <t>III. Tank Emission Limit</t>
  </si>
  <si>
    <r>
      <t xml:space="preserve">Current Potential to Emit - </t>
    </r>
    <r>
      <rPr>
        <b/>
        <sz val="14"/>
        <color rgb="FFFF0000"/>
        <rFont val="Arial"/>
        <family val="2"/>
      </rPr>
      <t>THIS TAB IS NOT UTILIZED IN THE CURRENT VERSION, BUT REMAINS INCASE AMENDMENTS BECOME ALLOWABLE</t>
    </r>
  </si>
  <si>
    <t>4. This condition applies to sources in the Houston-Galveston-Brazoria or the Dallas-Fort Worth ozone non-attainment areas.  The applicable counties are Brazoria, Chambers, Fort Bend, Galveston, Harris, Liberty, Montgomery, Waller, Collin, Dallas, Denton, Ellis, Johnson, Kaufman, Parker, Rockwall, and Tarrant. The condition also applies to sources in Wise County emitting 50 tpy NOx or greater. There shall be no operations of a diesel engine for testing or maintenance between 6:00 am and noon, except:</t>
  </si>
  <si>
    <r>
      <t xml:space="preserve">This sheet contains the draft permit prepared by the TCEQ for RAP: PowerEngine projects.
</t>
    </r>
    <r>
      <rPr>
        <b/>
        <sz val="11"/>
        <color theme="1"/>
        <rFont val="Arial"/>
        <family val="2"/>
      </rPr>
      <t>Instructions:</t>
    </r>
    <r>
      <rPr>
        <sz val="11"/>
        <color theme="1"/>
        <rFont val="Arial"/>
        <family val="2"/>
      </rPr>
      <t xml:space="preserve">
1. Review the Special Conditions. During the technical review, APD staff will convert this sheet to a Word document which will be </t>
    </r>
    <r>
      <rPr>
        <sz val="11"/>
        <rFont val="Arial"/>
        <family val="2"/>
      </rPr>
      <t>a part of the</t>
    </r>
    <r>
      <rPr>
        <sz val="11"/>
        <color theme="1"/>
        <rFont val="Arial"/>
        <family val="2"/>
      </rPr>
      <t xml:space="preserve"> permit.
2. Electronically sign this document at the end, indicating agreement with the statement.</t>
    </r>
  </si>
  <si>
    <t>1. Complete the workbook sheets in order, moving left to right and top to bottom.
2. Complete all input cells on each applicable emission source sheet.
    • Enter the emission point number (EPN) and facility identification number (FIN).
    • Some cells have drop-down selections.
3. On the "CND" sheet, confirm acceptance of all information in this workbook and submitted with the application.
4.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program, please contact us at 512-239-1250.</t>
  </si>
  <si>
    <t>This sheet summarizes and compares engine hours of operation and emission rates to RAP limits.  For multiple engines, this sheet also establishes engine cap information.
Note: Section I represents the engine EPN parameters. Section II compares all engine operational hours. Section III compares all engine total and maximum lb/hr emissions against the RAP limit.  Section IV compares all engine maximum and total tpy emissions against the RAP limit.  Total engine emission and individual maximum emissions cannot exceed the RAP limit.</t>
  </si>
  <si>
    <r>
      <t xml:space="preserve">The RAP: PowerEngine is a case-by-case New Source Review (NSR) project to authorize operation of up to ten diesel-fired engines and up to ten associated diesel storage tanks for the purpose of power generation. </t>
    </r>
    <r>
      <rPr>
        <sz val="11"/>
        <rFont val="Arial"/>
        <family val="2"/>
      </rPr>
      <t>This RAP authorization is only applicable for a new permit.</t>
    </r>
    <r>
      <rPr>
        <sz val="11"/>
        <color rgb="FFFF0000"/>
        <rFont val="Arial"/>
        <family val="2"/>
      </rPr>
      <t xml:space="preserve">
</t>
    </r>
    <r>
      <rPr>
        <sz val="11"/>
        <color theme="1"/>
        <rFont val="Arial"/>
        <family val="2"/>
      </rPr>
      <t xml:space="preserve">
This RAP: PowerEngine application workbook provides administrative and technical information needed by the Texas Commission on Environmental Quality (TCEQ) to evaluate operation of the engine(s) and associated equipment. The qualification criteria for this RAP is contained within this workbook and must be agreed to by the applicant at the time of submittal of the RAP application.
Facilities shall be constructed and operated as specified in the permit application. All representations regarding construction plans and operation requirements contained in the permit application (including this workbook) shall be enforceable representations upon issuance of the project.
Accessibility disclaimer: this workbook contains intentionally blank cells.</t>
    </r>
  </si>
  <si>
    <t>*Update if Amendments are added</t>
  </si>
  <si>
    <t>Last Updated:</t>
  </si>
  <si>
    <t>October 7, 2022</t>
  </si>
  <si>
    <t>&lt;linked to Fed applicability</t>
  </si>
  <si>
    <t>https://www.federalregister.gov/documents/2022/10/07/2022-20460/determinations-of-attainment-by-the-attainment-date-extensions-of-the-attainment-date-and</t>
  </si>
  <si>
    <t>https://www.federalregister.gov/documents/2022/10/07/2022-20458/determinations-of-attainment-by-the-attainment-date-extensions-of-the-attainment-date-and</t>
  </si>
  <si>
    <t>Delta</t>
  </si>
  <si>
    <t>see table in [Fed Ap]tab PI1:T31 ish</t>
  </si>
  <si>
    <t>Future Update Ideas:</t>
  </si>
  <si>
    <t>Consider moving Reference to Reference Tab (ie- Fed appiablity updates in P1:T31)</t>
  </si>
  <si>
    <t>Previous Date:</t>
  </si>
  <si>
    <t>Updated Date:</t>
  </si>
  <si>
    <t>November 7, 2022</t>
  </si>
  <si>
    <t>severe</t>
  </si>
  <si>
    <t>moderate nonattainment for ozone</t>
  </si>
  <si>
    <t>severe nonattainment for ozone</t>
  </si>
  <si>
    <r>
      <t xml:space="preserve">This sheet compiles baseline emission information for sources in this project for use in the federal applicability determination.
</t>
    </r>
    <r>
      <rPr>
        <b/>
        <sz val="11"/>
        <color theme="1"/>
        <rFont val="Arial"/>
        <family val="2"/>
      </rPr>
      <t xml:space="preserve">Instructions:
</t>
    </r>
    <r>
      <rPr>
        <sz val="11"/>
        <color theme="1"/>
        <rFont val="Arial"/>
        <family val="2"/>
      </rPr>
      <t>Enter the current sitewide potential to emit for each pollutant. Empty cells will be treated as 0. If this is a named source for PSD, the current sitewide PTE must include fugitive emissions.</t>
    </r>
  </si>
  <si>
    <t>Is the PIP Form (TCEQ Form 20960) attached?</t>
  </si>
  <si>
    <t xml:space="preserve">https://www.tceq.texas.gov/permitting/air#pip </t>
  </si>
  <si>
    <t>TCEQ 20952, Version 2.1</t>
  </si>
  <si>
    <r>
      <rPr>
        <b/>
        <sz val="11"/>
        <color theme="1"/>
        <rFont val="Arial"/>
        <family val="2"/>
      </rPr>
      <t>E. Is a Public Involvement Plan (PIP) reqiured for this project?</t>
    </r>
    <r>
      <rPr>
        <sz val="11"/>
        <color theme="1"/>
        <rFont val="Arial"/>
        <family val="2"/>
      </rPr>
      <t xml:space="preserve"> </t>
    </r>
  </si>
  <si>
    <t>Requirements can be found at the following link:</t>
  </si>
  <si>
    <t>4. Submit copies of the application materials to other applicable program areas in accordance with "Section VI. Where to Submit Application Materials" below.
5. Do not begin construction until notified by the TCEQ.
6. If the qualification criteria are not met, or if the applicant does not agree with the RAP-SCT Special Conditions, the applicant will receive notice that the application has been voided and the applicant should seek a different type of authorization as appropriate.
See the below link for additional information about submitting via FTPS:</t>
  </si>
  <si>
    <r>
      <t xml:space="preserve">1. Prepare all items to make the complete application. Follow "Section IV. Workbook Instructions" below to complete the application workbook.
     A complete application for this RAP includes the following:
     • Process flow diagram
     • Current area map
     • Plot plan
     • RAP: PowerEngine Application Workbook (The file name should be: Date_ApplicationWorkbook_Company name_Permit number)
     • Engine supporting documentation and stack test data 
     • If the project involves diesel tank(s): storage tank emission calculations or output files from approved calculation software
     • If using baseline emissions in the federal applicability determination, attach a printout from Emissions Inventory showing the baseline emission years for the units in
       the project.
2. </t>
    </r>
    <r>
      <rPr>
        <b/>
        <sz val="11"/>
        <color rgb="FFC00000"/>
        <rFont val="Arial"/>
        <family val="2"/>
      </rPr>
      <t>Submit the application through STEERS as an ePermits application.</t>
    </r>
    <r>
      <rPr>
        <sz val="11"/>
        <color theme="1"/>
        <rFont val="Arial"/>
        <family val="2"/>
      </rPr>
      <t xml:space="preserve"> When submitting through STEERS a wet signature is not required and the system will notify the appropriate regional office and local program(s). You are still required to provide a hard copy of the application to be displayed at the public viewing location during public notice.
3. </t>
    </r>
    <r>
      <rPr>
        <b/>
        <sz val="11"/>
        <color rgb="FFC00000"/>
        <rFont val="Arial"/>
        <family val="2"/>
      </rPr>
      <t>Submit all application attachments through STEERS as part of your ePermit application unless:</t>
    </r>
    <r>
      <rPr>
        <sz val="11"/>
        <color theme="1"/>
        <rFont val="Arial"/>
        <family val="2"/>
      </rPr>
      <t xml:space="preserve">
         • the file size of an attachment exceeds 50 MB or
         • the file type is not accepted (accepted file types are xls, xlsm, xlsx, txt, pdf, doc, docx, wpd, csv, xml, jpg, gif, tif, and jpeg).
     If the attachment cannot be submitted through STEERS for one of the reasons listed above, submit the attachment through email or TCEQ FTPS. For the 
     initial submittal, you must share these files with APIRT@tceq.texas.gov. Once your project is assigned, you will share files directly with your reviewer. If 
     confidential files will be submitted, follow the additional instructions below.     
    </t>
    </r>
    <r>
      <rPr>
        <b/>
        <sz val="11"/>
        <color rgb="FFC00000"/>
        <rFont val="Arial"/>
        <family val="2"/>
      </rPr>
      <t>Confidential files</t>
    </r>
    <r>
      <rPr>
        <sz val="11"/>
        <color theme="1"/>
        <rFont val="Arial"/>
        <family val="2"/>
      </rPr>
      <t xml:space="preserve"> must be submitted through STEERS or the TCEQ FTPS. All pages must be marked confidential and have confidential in the file name. 
    Confidential submittals must be separate from non-confidential application materials. Note: emails sent to the agency are not encryption protected via Secure 
    Sockets Layers by our server and may be subject to interception by common third-party internet tools. Anything marked as confidential will be treated as 
    such by APD staff upon receipt.</t>
    </r>
  </si>
  <si>
    <r>
      <t xml:space="preserve">If yes, is each confidential page marked </t>
    </r>
    <r>
      <rPr>
        <b/>
        <i/>
        <sz val="11"/>
        <color theme="5"/>
        <rFont val="Arial"/>
        <family val="2"/>
      </rPr>
      <t>"CONFIDENTIAL"</t>
    </r>
    <r>
      <rPr>
        <i/>
        <sz val="11"/>
        <color theme="1"/>
        <rFont val="Arial"/>
        <family val="2"/>
      </rPr>
      <t xml:space="preserve"> in large red letters?</t>
    </r>
  </si>
  <si>
    <t>THSC §382.041 restricts whether confidential information can be disclosed. Mark any information related to secret or proprietary processes or methods of manufacture as confidential if you do not want this information in the public file. All confidential information should be separated from the application and submitted as a separate file. Additional information regarding confidential information can be found at the link below:</t>
  </si>
  <si>
    <t>Sandra Juarez</t>
  </si>
  <si>
    <t>Jordyn Winter, Jett Koen</t>
  </si>
  <si>
    <t>Version 2 - 11/22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</si>
</sst>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164" formatCode="0.0000"/>
    <numFmt numFmtId="165" formatCode="0.0000000"/>
    <numFmt numFmtId="166" formatCode="[$-409]mmmm\ d\,\ yyyy;@"/>
    <numFmt numFmtId="167" formatCode="&quot;$&quot;#,##0.00"/>
    <numFmt numFmtId="168" formatCode="0.000"/>
    <numFmt numFmtId="169" formatCode="#,##0.0000"/>
    <numFmt numFmtId="170" formatCode="[=0]0;[&lt;0.01]##.00E+#0;#,##0.00"/>
    <numFmt numFmtId="171" formatCode="[=0]0;[&lt;0.01]0.00E+00;#,##0.00"/>
    <numFmt numFmtId="172" formatCode="[=0]0;[&lt;0.001]0.00E+00;#,##0.000"/>
    <numFmt numFmtId="173" formatCode="[=0]\ 0.00;[&lt;0.005]\&lt;\ 0.0\1;#,##0.00"/>
  </numFmts>
  <fonts count="61" x14ac:knownFonts="1">
    <font>
      <sz val="11"/>
      <color theme="1"/>
      <name val="Arial"/>
      <family val="2"/>
    </font>
    <font>
      <sz val="11"/>
      <color theme="1"/>
      <name val="Calibri"/>
      <family val="2"/>
      <scheme val="minor"/>
    </font>
    <font>
      <sz val="11"/>
      <color theme="1"/>
      <name val="Arial"/>
      <family val="2"/>
    </font>
    <font>
      <sz val="10"/>
      <color theme="1"/>
      <name val="Arial"/>
      <family val="2"/>
    </font>
    <font>
      <sz val="11"/>
      <color theme="1"/>
      <name val="Calibri"/>
      <family val="2"/>
      <scheme val="minor"/>
    </font>
    <font>
      <sz val="10"/>
      <name val="Arial"/>
      <family val="2"/>
    </font>
    <font>
      <u/>
      <sz val="11"/>
      <color theme="10"/>
      <name val="Calibri"/>
      <family val="2"/>
      <scheme val="minor"/>
    </font>
    <font>
      <b/>
      <sz val="14"/>
      <color theme="1"/>
      <name val="Arial"/>
      <family val="2"/>
    </font>
    <font>
      <sz val="11"/>
      <color theme="1"/>
      <name val="Arial"/>
      <family val="2"/>
    </font>
    <font>
      <b/>
      <sz val="11"/>
      <color theme="1"/>
      <name val="Arial"/>
      <family val="2"/>
    </font>
    <font>
      <b/>
      <sz val="11"/>
      <color theme="1"/>
      <name val="Calibri"/>
      <family val="2"/>
      <scheme val="minor"/>
    </font>
    <font>
      <b/>
      <sz val="11"/>
      <color rgb="FF000066"/>
      <name val="Calibri"/>
      <family val="2"/>
      <scheme val="minor"/>
    </font>
    <font>
      <b/>
      <sz val="11"/>
      <name val="Arial"/>
      <family val="2"/>
    </font>
    <font>
      <sz val="11"/>
      <name val="Arial"/>
      <family val="2"/>
    </font>
    <font>
      <b/>
      <sz val="14"/>
      <name val="Arial"/>
      <family val="2"/>
    </font>
    <font>
      <sz val="10"/>
      <color rgb="FF000000"/>
      <name val="Arial"/>
      <family val="2"/>
    </font>
    <font>
      <sz val="1"/>
      <color theme="0"/>
      <name val="Arial"/>
      <family val="2"/>
    </font>
    <font>
      <u/>
      <sz val="10"/>
      <color theme="10"/>
      <name val="Times New Roman"/>
      <family val="1"/>
    </font>
    <font>
      <i/>
      <sz val="11"/>
      <color theme="1"/>
      <name val="Arial"/>
      <family val="2"/>
    </font>
    <font>
      <b/>
      <sz val="10"/>
      <color theme="1"/>
      <name val="Arial"/>
      <family val="2"/>
    </font>
    <font>
      <sz val="11"/>
      <color rgb="FF000000"/>
      <name val="Arial"/>
      <family val="2"/>
    </font>
    <font>
      <sz val="10"/>
      <color theme="1"/>
      <name val="Arial"/>
      <family val="2"/>
    </font>
    <font>
      <sz val="10"/>
      <color theme="0"/>
      <name val="Arial"/>
      <family val="2"/>
    </font>
    <font>
      <b/>
      <sz val="11"/>
      <color rgb="FF000000"/>
      <name val="Arial"/>
      <family val="2"/>
    </font>
    <font>
      <sz val="10"/>
      <color rgb="FF000000"/>
      <name val="Times New Roman"/>
      <family val="1"/>
    </font>
    <font>
      <sz val="10"/>
      <name val="MS Sans Serif"/>
    </font>
    <font>
      <b/>
      <i/>
      <sz val="11"/>
      <color theme="1"/>
      <name val="Arial"/>
      <family val="2"/>
    </font>
    <font>
      <sz val="11"/>
      <color theme="1"/>
      <name val="Calibri"/>
      <family val="2"/>
    </font>
    <font>
      <sz val="11"/>
      <color theme="0"/>
      <name val="Arial"/>
      <family val="2"/>
    </font>
    <font>
      <b/>
      <sz val="11"/>
      <color theme="0"/>
      <name val="Arial"/>
      <family val="2"/>
    </font>
    <font>
      <sz val="11"/>
      <color rgb="FFFFFFCC"/>
      <name val="Calibri"/>
      <family val="2"/>
      <scheme val="minor"/>
    </font>
    <font>
      <sz val="8"/>
      <color theme="1"/>
      <name val="Arial"/>
      <family val="2"/>
    </font>
    <font>
      <sz val="5"/>
      <color rgb="FFFFFFCC"/>
      <name val="Arial"/>
      <family val="2"/>
    </font>
    <font>
      <sz val="11"/>
      <color rgb="FFFFFFCC"/>
      <name val="Arial"/>
      <family val="2"/>
    </font>
    <font>
      <sz val="11"/>
      <color theme="10"/>
      <name val="Arial"/>
      <family val="2"/>
    </font>
    <font>
      <sz val="11"/>
      <color theme="0"/>
      <name val="Calibri"/>
      <family val="2"/>
      <scheme val="minor"/>
    </font>
    <font>
      <b/>
      <sz val="1"/>
      <color theme="0"/>
      <name val="Arial"/>
      <family val="2"/>
    </font>
    <font>
      <b/>
      <sz val="11"/>
      <color theme="5"/>
      <name val="Arial"/>
      <family val="2"/>
    </font>
    <font>
      <u/>
      <sz val="11"/>
      <color theme="10"/>
      <name val="Arial"/>
      <family val="2"/>
    </font>
    <font>
      <u/>
      <sz val="11"/>
      <color rgb="FF0000FF"/>
      <name val="Arial"/>
      <family val="2"/>
    </font>
    <font>
      <b/>
      <sz val="11"/>
      <color rgb="FFC0504D"/>
      <name val="Arial"/>
      <family val="2"/>
    </font>
    <font>
      <vertAlign val="subscript"/>
      <sz val="10"/>
      <color theme="1"/>
      <name val="Arial"/>
      <family val="2"/>
    </font>
    <font>
      <b/>
      <sz val="12"/>
      <color theme="1"/>
      <name val="Arial"/>
      <family val="2"/>
    </font>
    <font>
      <b/>
      <sz val="12"/>
      <name val="Arial"/>
      <family val="2"/>
    </font>
    <font>
      <b/>
      <sz val="12"/>
      <color rgb="FF000000"/>
      <name val="Arial"/>
      <family val="2"/>
    </font>
    <font>
      <b/>
      <vertAlign val="subscript"/>
      <sz val="11"/>
      <color theme="1"/>
      <name val="Arial"/>
      <family val="2"/>
    </font>
    <font>
      <vertAlign val="subscript"/>
      <sz val="11"/>
      <color theme="1"/>
      <name val="Arial"/>
      <family val="2"/>
    </font>
    <font>
      <vertAlign val="subscript"/>
      <sz val="11"/>
      <name val="Arial"/>
      <family val="2"/>
    </font>
    <font>
      <sz val="8"/>
      <name val="Arial"/>
      <family val="2"/>
    </font>
    <font>
      <b/>
      <sz val="8"/>
      <color theme="1"/>
      <name val="Arial"/>
      <family val="2"/>
    </font>
    <font>
      <b/>
      <sz val="22"/>
      <color theme="1"/>
      <name val="Arial"/>
      <family val="2"/>
    </font>
    <font>
      <sz val="11"/>
      <color theme="1"/>
      <name val="Calibri"/>
      <family val="2"/>
    </font>
    <font>
      <sz val="11"/>
      <color rgb="FFFF0000"/>
      <name val="Arial"/>
      <family val="2"/>
    </font>
    <font>
      <sz val="11"/>
      <color rgb="FF0070C0"/>
      <name val="Arial"/>
      <family val="2"/>
    </font>
    <font>
      <b/>
      <sz val="11"/>
      <color rgb="FF0070C0"/>
      <name val="Arial"/>
      <family val="2"/>
    </font>
    <font>
      <sz val="10"/>
      <color rgb="FF0070C0"/>
      <name val="Arial"/>
      <family val="2"/>
    </font>
    <font>
      <b/>
      <sz val="11"/>
      <color rgb="FFFF0000"/>
      <name val="Arial"/>
      <family val="2"/>
    </font>
    <font>
      <sz val="11"/>
      <color rgb="FF00B0F0"/>
      <name val="Arial"/>
      <family val="2"/>
    </font>
    <font>
      <b/>
      <sz val="14"/>
      <color rgb="FFFF0000"/>
      <name val="Arial"/>
      <family val="2"/>
    </font>
    <font>
      <b/>
      <sz val="11"/>
      <color rgb="FFC00000"/>
      <name val="Arial"/>
      <family val="2"/>
    </font>
    <font>
      <b/>
      <i/>
      <sz val="11"/>
      <color theme="5"/>
      <name val="Arial"/>
      <family val="2"/>
    </font>
  </fonts>
  <fills count="17">
    <fill>
      <patternFill patternType="none"/>
    </fill>
    <fill>
      <patternFill patternType="gray125"/>
    </fill>
    <fill>
      <patternFill patternType="solid">
        <fgColor rgb="FFFFFFCC"/>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CCFF"/>
        <bgColor indexed="64"/>
      </patternFill>
    </fill>
    <fill>
      <patternFill patternType="solid">
        <fgColor theme="0" tint="-0.499984740745262"/>
        <bgColor indexed="64"/>
      </patternFill>
    </fill>
    <fill>
      <patternFill patternType="solid">
        <fgColor rgb="FFEBB8B7"/>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EBB7B8"/>
        <bgColor indexed="64"/>
      </patternFill>
    </fill>
    <fill>
      <patternFill patternType="solid">
        <fgColor theme="0" tint="-0.14996795556505021"/>
        <bgColor indexed="64"/>
      </patternFill>
    </fill>
    <fill>
      <patternFill patternType="solid">
        <fgColor rgb="FF808080"/>
        <bgColor indexed="64"/>
      </patternFill>
    </fill>
    <fill>
      <patternFill patternType="solid">
        <fgColor rgb="FFDAEEF3"/>
        <bgColor indexed="64"/>
      </patternFill>
    </fill>
    <fill>
      <patternFill patternType="solid">
        <fgColor rgb="FFFF99CC"/>
        <bgColor indexed="64"/>
      </patternFill>
    </fill>
  </fills>
  <borders count="161">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bottom style="medium">
        <color indexed="64"/>
      </bottom>
      <diagonal/>
    </border>
    <border>
      <left style="thin">
        <color auto="1"/>
      </left>
      <right style="thin">
        <color auto="1"/>
      </right>
      <top style="medium">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auto="1"/>
      </right>
      <top style="thin">
        <color indexed="64"/>
      </top>
      <bottom/>
      <diagonal/>
    </border>
    <border>
      <left/>
      <right style="thin">
        <color auto="1"/>
      </right>
      <top/>
      <bottom style="medium">
        <color auto="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bottom style="thin">
        <color theme="0" tint="-0.14999847407452621"/>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top style="thin">
        <color indexed="64"/>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thin">
        <color indexed="64"/>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diagonal/>
    </border>
    <border>
      <left/>
      <right style="medium">
        <color rgb="FF000000"/>
      </right>
      <top style="thin">
        <color indexed="64"/>
      </top>
      <bottom style="medium">
        <color rgb="FF000000"/>
      </bottom>
      <diagonal/>
    </border>
    <border>
      <left style="medium">
        <color rgb="FF000000"/>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style="medium">
        <color rgb="FF000000"/>
      </right>
      <top style="thin">
        <color indexed="64"/>
      </top>
      <bottom/>
      <diagonal/>
    </border>
    <border>
      <left/>
      <right style="medium">
        <color rgb="FF000000"/>
      </right>
      <top/>
      <bottom style="thin">
        <color indexed="64"/>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indexed="64"/>
      </right>
      <top style="thin">
        <color rgb="FF000000"/>
      </top>
      <bottom style="thin">
        <color indexed="64"/>
      </bottom>
      <diagonal/>
    </border>
    <border>
      <left/>
      <right style="medium">
        <color rgb="FF000000"/>
      </right>
      <top style="thin">
        <color rgb="FF000000"/>
      </top>
      <bottom style="thin">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indexed="64"/>
      </bottom>
      <diagonal/>
    </border>
    <border>
      <left style="thin">
        <color auto="1"/>
      </left>
      <right style="medium">
        <color rgb="FF000000"/>
      </right>
      <top/>
      <bottom style="thin">
        <color auto="1"/>
      </bottom>
      <diagonal/>
    </border>
    <border>
      <left style="thin">
        <color auto="1"/>
      </left>
      <right style="medium">
        <color rgb="FF000000"/>
      </right>
      <top style="medium">
        <color rgb="FF000000"/>
      </top>
      <bottom style="thin">
        <color auto="1"/>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thin">
        <color rgb="FF000000"/>
      </left>
      <right style="thin">
        <color indexed="64"/>
      </right>
      <top style="medium">
        <color rgb="FF000000"/>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indexed="64"/>
      </right>
      <top style="medium">
        <color rgb="FF000000"/>
      </top>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right style="thin">
        <color rgb="FF000000"/>
      </right>
      <top/>
      <bottom/>
      <diagonal/>
    </border>
    <border>
      <left style="thin">
        <color rgb="FF000000"/>
      </left>
      <right/>
      <top/>
      <bottom/>
      <diagonal/>
    </border>
    <border>
      <left style="medium">
        <color rgb="FF000000"/>
      </left>
      <right/>
      <top style="thin">
        <color indexed="64"/>
      </top>
      <bottom style="medium">
        <color rgb="FF000000"/>
      </bottom>
      <diagonal/>
    </border>
    <border>
      <left/>
      <right style="thin">
        <color indexed="64"/>
      </right>
      <top style="thin">
        <color indexed="64"/>
      </top>
      <bottom style="medium">
        <color rgb="FF000000"/>
      </bottom>
      <diagonal/>
    </border>
    <border>
      <left/>
      <right style="thin">
        <color indexed="64"/>
      </right>
      <top/>
      <bottom style="thin">
        <color rgb="FF000000"/>
      </bottom>
      <diagonal/>
    </border>
    <border>
      <left style="thin">
        <color auto="1"/>
      </left>
      <right style="medium">
        <color auto="1"/>
      </right>
      <top/>
      <bottom style="thin">
        <color rgb="FF000000"/>
      </bottom>
      <diagonal/>
    </border>
    <border>
      <left/>
      <right style="thin">
        <color indexed="64"/>
      </right>
      <top style="thin">
        <color rgb="FF000000"/>
      </top>
      <bottom style="thin">
        <color indexed="64"/>
      </bottom>
      <diagonal/>
    </border>
    <border>
      <left style="medium">
        <color auto="1"/>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medium">
        <color auto="1"/>
      </right>
      <top style="thin">
        <color auto="1"/>
      </top>
      <bottom style="thin">
        <color rgb="FF000000"/>
      </bottom>
      <diagonal/>
    </border>
    <border>
      <left style="medium">
        <color auto="1"/>
      </left>
      <right style="thin">
        <color auto="1"/>
      </right>
      <top style="thin">
        <color rgb="FF000000"/>
      </top>
      <bottom style="medium">
        <color auto="1"/>
      </bottom>
      <diagonal/>
    </border>
    <border>
      <left style="thin">
        <color auto="1"/>
      </left>
      <right style="thin">
        <color auto="1"/>
      </right>
      <top style="thin">
        <color rgb="FF000000"/>
      </top>
      <bottom style="medium">
        <color auto="1"/>
      </bottom>
      <diagonal/>
    </border>
    <border>
      <left style="thin">
        <color auto="1"/>
      </left>
      <right style="medium">
        <color auto="1"/>
      </right>
      <top style="thin">
        <color rgb="FF000000"/>
      </top>
      <bottom style="medium">
        <color auto="1"/>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indexed="64"/>
      </top>
      <bottom style="medium">
        <color rgb="FF000000"/>
      </bottom>
      <diagonal/>
    </border>
    <border>
      <left/>
      <right style="medium">
        <color rgb="FF000000"/>
      </right>
      <top style="medium">
        <color auto="1"/>
      </top>
      <bottom style="thin">
        <color auto="1"/>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thin">
        <color theme="0" tint="-0.14999847407452621"/>
      </top>
      <bottom style="thin">
        <color theme="0" tint="-0.14999847407452621"/>
      </bottom>
      <diagonal/>
    </border>
    <border>
      <left/>
      <right style="medium">
        <color indexed="64"/>
      </right>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s>
  <cellStyleXfs count="23">
    <xf numFmtId="0" fontId="0" fillId="0" borderId="0"/>
    <xf numFmtId="0" fontId="5" fillId="0" borderId="0"/>
    <xf numFmtId="0" fontId="5" fillId="0" borderId="0"/>
    <xf numFmtId="0" fontId="5" fillId="2" borderId="1" applyNumberFormat="0" applyFont="0" applyAlignment="0" applyProtection="0"/>
    <xf numFmtId="0" fontId="5" fillId="0" borderId="0"/>
    <xf numFmtId="0" fontId="5" fillId="0" borderId="0"/>
    <xf numFmtId="0" fontId="5" fillId="2" borderId="1" applyNumberFormat="0" applyFont="0" applyAlignment="0" applyProtection="0"/>
    <xf numFmtId="0" fontId="4" fillId="0" borderId="0"/>
    <xf numFmtId="0" fontId="6" fillId="0" borderId="0" applyNumberFormat="0" applyFill="0" applyBorder="0" applyAlignment="0" applyProtection="0"/>
    <xf numFmtId="0" fontId="5" fillId="0" borderId="0"/>
    <xf numFmtId="0" fontId="38" fillId="0" borderId="0" applyNumberFormat="0" applyFill="0" applyBorder="0" applyAlignment="0" applyProtection="0"/>
    <xf numFmtId="0" fontId="15" fillId="0" borderId="0"/>
    <xf numFmtId="0" fontId="17" fillId="0" borderId="0" applyNumberFormat="0" applyFill="0" applyBorder="0" applyAlignment="0" applyProtection="0"/>
    <xf numFmtId="44" fontId="15" fillId="0" borderId="0" applyFont="0" applyFill="0" applyBorder="0" applyAlignment="0" applyProtection="0"/>
    <xf numFmtId="0" fontId="24" fillId="0" borderId="0"/>
    <xf numFmtId="0" fontId="25" fillId="0" borderId="0"/>
    <xf numFmtId="0" fontId="4" fillId="0" borderId="0"/>
    <xf numFmtId="0" fontId="1" fillId="0" borderId="0"/>
    <xf numFmtId="0" fontId="1" fillId="0" borderId="0"/>
    <xf numFmtId="0" fontId="23" fillId="0" borderId="2">
      <alignment horizontal="left" vertical="top" wrapText="1"/>
    </xf>
    <xf numFmtId="0" fontId="20" fillId="3" borderId="2">
      <alignment horizontal="left" vertical="top" wrapText="1"/>
      <protection locked="0"/>
    </xf>
    <xf numFmtId="0" fontId="50" fillId="5" borderId="67">
      <alignment horizontal="center" vertical="center"/>
    </xf>
    <xf numFmtId="49" fontId="42" fillId="13" borderId="67">
      <alignment horizontal="left" vertical="top"/>
    </xf>
  </cellStyleXfs>
  <cellXfs count="1052">
    <xf numFmtId="0" fontId="0" fillId="0" borderId="0" xfId="0"/>
    <xf numFmtId="0" fontId="8" fillId="0" borderId="0" xfId="0" applyFont="1"/>
    <xf numFmtId="0" fontId="8" fillId="0" borderId="0" xfId="0" applyFont="1" applyAlignment="1">
      <alignment horizontal="left" vertical="center"/>
    </xf>
    <xf numFmtId="0" fontId="8" fillId="0" borderId="0" xfId="11" applyFont="1"/>
    <xf numFmtId="0" fontId="15" fillId="0" borderId="0" xfId="11"/>
    <xf numFmtId="0" fontId="15" fillId="0" borderId="0" xfId="11" applyAlignment="1">
      <alignment horizontal="left" vertical="top"/>
    </xf>
    <xf numFmtId="0" fontId="21" fillId="0" borderId="0" xfId="11" applyFont="1" applyAlignment="1">
      <alignment vertical="center"/>
    </xf>
    <xf numFmtId="0" fontId="24" fillId="0" borderId="0" xfId="11" applyFont="1" applyAlignment="1">
      <alignment horizontal="left" vertical="top"/>
    </xf>
    <xf numFmtId="0" fontId="0" fillId="0" borderId="0" xfId="0" applyAlignment="1">
      <alignment vertical="top"/>
    </xf>
    <xf numFmtId="0" fontId="10" fillId="6" borderId="0" xfId="0" applyFont="1" applyFill="1" applyAlignment="1">
      <alignment wrapText="1"/>
    </xf>
    <xf numFmtId="0" fontId="11" fillId="7" borderId="0" xfId="0" applyFont="1" applyFill="1" applyAlignment="1">
      <alignment horizontal="left" vertical="center"/>
    </xf>
    <xf numFmtId="0" fontId="10" fillId="7" borderId="0" xfId="0" applyFont="1" applyFill="1" applyAlignment="1">
      <alignment wrapText="1"/>
    </xf>
    <xf numFmtId="0" fontId="15" fillId="0" borderId="0" xfId="11" applyAlignment="1">
      <alignment vertical="top"/>
    </xf>
    <xf numFmtId="0" fontId="7" fillId="0" borderId="0" xfId="11" applyFont="1" applyAlignment="1">
      <alignment vertical="top" wrapText="1"/>
    </xf>
    <xf numFmtId="0" fontId="19" fillId="0" borderId="0" xfId="11" applyFont="1"/>
    <xf numFmtId="0" fontId="16" fillId="0" borderId="0" xfId="0" applyFont="1" applyAlignment="1">
      <alignment vertical="center"/>
    </xf>
    <xf numFmtId="0" fontId="0" fillId="3" borderId="36" xfId="0" applyFill="1" applyBorder="1"/>
    <xf numFmtId="0" fontId="0" fillId="3" borderId="37" xfId="0" applyFill="1" applyBorder="1"/>
    <xf numFmtId="0" fontId="0" fillId="3" borderId="68" xfId="0" applyFill="1" applyBorder="1"/>
    <xf numFmtId="0" fontId="0" fillId="3" borderId="0" xfId="0" applyFill="1"/>
    <xf numFmtId="0" fontId="0" fillId="3" borderId="31" xfId="0" applyFill="1" applyBorder="1"/>
    <xf numFmtId="0" fontId="0" fillId="3" borderId="32" xfId="0" applyFill="1" applyBorder="1"/>
    <xf numFmtId="0" fontId="0" fillId="3" borderId="0" xfId="0" applyFill="1" applyAlignment="1">
      <alignment horizontal="center"/>
    </xf>
    <xf numFmtId="0" fontId="0" fillId="3" borderId="68" xfId="0" applyFill="1" applyBorder="1" applyAlignment="1">
      <alignment horizontal="center"/>
    </xf>
    <xf numFmtId="0" fontId="0" fillId="3" borderId="56" xfId="0" applyFill="1" applyBorder="1" applyAlignment="1">
      <alignment horizontal="center"/>
    </xf>
    <xf numFmtId="0" fontId="0" fillId="3" borderId="32" xfId="0" applyFill="1" applyBorder="1" applyAlignment="1">
      <alignment horizontal="center"/>
    </xf>
    <xf numFmtId="0" fontId="0" fillId="3" borderId="31" xfId="0" applyFill="1" applyBorder="1" applyAlignment="1">
      <alignment horizontal="center"/>
    </xf>
    <xf numFmtId="0" fontId="0" fillId="3" borderId="48" xfId="0" applyFill="1" applyBorder="1" applyAlignment="1">
      <alignment horizontal="center"/>
    </xf>
    <xf numFmtId="0" fontId="10" fillId="6" borderId="0" xfId="0" applyFont="1" applyFill="1"/>
    <xf numFmtId="0" fontId="27" fillId="5" borderId="4" xfId="0" applyFont="1" applyFill="1" applyBorder="1" applyAlignment="1">
      <alignment horizontal="left" wrapText="1"/>
    </xf>
    <xf numFmtId="0" fontId="0" fillId="5" borderId="5" xfId="0" applyFill="1" applyBorder="1" applyAlignment="1">
      <alignment horizontal="left"/>
    </xf>
    <xf numFmtId="0" fontId="27" fillId="5" borderId="5" xfId="0" applyFont="1" applyFill="1" applyBorder="1" applyAlignment="1">
      <alignment horizontal="left" wrapText="1"/>
    </xf>
    <xf numFmtId="0" fontId="0" fillId="5" borderId="6" xfId="0" applyFill="1" applyBorder="1" applyAlignment="1">
      <alignment horizontal="left"/>
    </xf>
    <xf numFmtId="0" fontId="0" fillId="0" borderId="2" xfId="0" applyBorder="1" applyAlignment="1">
      <alignment horizontal="left"/>
    </xf>
    <xf numFmtId="0" fontId="0" fillId="5" borderId="3" xfId="0" applyFill="1" applyBorder="1" applyAlignment="1">
      <alignment horizontal="left"/>
    </xf>
    <xf numFmtId="0" fontId="0" fillId="0" borderId="2" xfId="0" applyBorder="1" applyAlignment="1">
      <alignment horizontal="center"/>
    </xf>
    <xf numFmtId="0" fontId="0" fillId="0" borderId="7" xfId="0" applyBorder="1" applyAlignment="1">
      <alignment horizontal="center"/>
    </xf>
    <xf numFmtId="0" fontId="0" fillId="5" borderId="8" xfId="0" applyFill="1" applyBorder="1" applyAlignment="1">
      <alignment horizontal="left"/>
    </xf>
    <xf numFmtId="0" fontId="0" fillId="0" borderId="9" xfId="0"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27" fillId="5" borderId="5" xfId="0" applyFont="1" applyFill="1" applyBorder="1" applyAlignment="1">
      <alignment horizontal="left"/>
    </xf>
    <xf numFmtId="0" fontId="27" fillId="5" borderId="3" xfId="0" applyFont="1" applyFill="1" applyBorder="1" applyAlignment="1">
      <alignment horizontal="left"/>
    </xf>
    <xf numFmtId="0" fontId="2" fillId="0" borderId="0" xfId="0" applyFont="1"/>
    <xf numFmtId="0" fontId="20" fillId="0" borderId="0" xfId="11" applyFont="1" applyAlignment="1">
      <alignment horizontal="left" vertical="top"/>
    </xf>
    <xf numFmtId="2" fontId="0" fillId="0" borderId="0" xfId="0" applyNumberFormat="1"/>
    <xf numFmtId="0" fontId="0" fillId="0" borderId="0" xfId="0" applyAlignment="1">
      <alignment vertical="top" wrapText="1"/>
    </xf>
    <xf numFmtId="0" fontId="0" fillId="0" borderId="0" xfId="0" applyAlignment="1">
      <alignment horizontal="left" vertical="center"/>
    </xf>
    <xf numFmtId="0" fontId="0" fillId="0" borderId="0" xfId="0" applyAlignment="1">
      <alignment horizontal="left" vertical="center" wrapText="1"/>
    </xf>
    <xf numFmtId="0" fontId="2" fillId="0" borderId="0" xfId="11" applyFont="1" applyAlignment="1">
      <alignment vertical="top"/>
    </xf>
    <xf numFmtId="0" fontId="0" fillId="0" borderId="0" xfId="0" applyAlignment="1">
      <alignment vertical="center"/>
    </xf>
    <xf numFmtId="0" fontId="3" fillId="0" borderId="0" xfId="0" applyFont="1"/>
    <xf numFmtId="0" fontId="0" fillId="0" borderId="0" xfId="0" applyAlignment="1">
      <alignment horizontal="left"/>
    </xf>
    <xf numFmtId="0" fontId="3" fillId="4" borderId="2"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9" xfId="0" applyFont="1" applyFill="1" applyBorder="1" applyAlignment="1">
      <alignment horizontal="left" vertical="top" wrapText="1"/>
    </xf>
    <xf numFmtId="0" fontId="2" fillId="0" borderId="2" xfId="11" applyFont="1" applyBorder="1" applyAlignment="1">
      <alignment horizontal="left" vertical="top" wrapText="1"/>
    </xf>
    <xf numFmtId="0" fontId="2" fillId="0" borderId="4" xfId="0" applyFont="1" applyBorder="1" applyAlignment="1">
      <alignment horizontal="left" vertical="top"/>
    </xf>
    <xf numFmtId="0" fontId="0" fillId="0" borderId="26" xfId="0" applyBorder="1" applyAlignment="1">
      <alignment horizontal="left" vertical="top"/>
    </xf>
    <xf numFmtId="2" fontId="0" fillId="0" borderId="2" xfId="0" applyNumberFormat="1" applyBorder="1" applyAlignment="1">
      <alignment horizontal="left" vertical="top"/>
    </xf>
    <xf numFmtId="168" fontId="0" fillId="0" borderId="2" xfId="0" applyNumberFormat="1" applyBorder="1" applyAlignment="1">
      <alignment horizontal="left" vertical="top"/>
    </xf>
    <xf numFmtId="164" fontId="0" fillId="0" borderId="2" xfId="0" applyNumberFormat="1" applyBorder="1" applyAlignment="1">
      <alignment horizontal="left" vertical="top"/>
    </xf>
    <xf numFmtId="0" fontId="9" fillId="0" borderId="46" xfId="0" applyFont="1" applyBorder="1" applyAlignment="1">
      <alignment horizontal="left" vertical="top" wrapText="1"/>
    </xf>
    <xf numFmtId="0" fontId="0" fillId="0" borderId="67" xfId="0" applyBorder="1" applyAlignment="1">
      <alignment horizontal="left" vertical="top" wrapText="1"/>
    </xf>
    <xf numFmtId="0" fontId="0" fillId="3" borderId="13" xfId="0" applyFill="1" applyBorder="1" applyAlignment="1" applyProtection="1">
      <alignment horizontal="left" vertical="top" wrapText="1"/>
      <protection locked="0"/>
    </xf>
    <xf numFmtId="0" fontId="0" fillId="3" borderId="23" xfId="0" applyFill="1" applyBorder="1" applyAlignment="1" applyProtection="1">
      <alignment horizontal="left" vertical="top" wrapText="1"/>
      <protection locked="0"/>
    </xf>
    <xf numFmtId="0" fontId="0" fillId="3" borderId="69" xfId="0" applyFill="1" applyBorder="1" applyAlignment="1" applyProtection="1">
      <alignment horizontal="left" vertical="top" wrapText="1"/>
      <protection locked="0"/>
    </xf>
    <xf numFmtId="0" fontId="0" fillId="3" borderId="26" xfId="0" applyFill="1" applyBorder="1" applyAlignment="1" applyProtection="1">
      <alignment horizontal="left" vertical="top" wrapText="1"/>
      <protection locked="0"/>
    </xf>
    <xf numFmtId="0" fontId="0" fillId="3" borderId="46"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0" borderId="72" xfId="0" applyBorder="1" applyAlignment="1">
      <alignment horizontal="left" vertical="top" wrapText="1"/>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43" xfId="0" applyFill="1" applyBorder="1" applyAlignment="1" applyProtection="1">
      <alignment horizontal="left" vertical="top" wrapText="1"/>
      <protection locked="0"/>
    </xf>
    <xf numFmtId="0" fontId="0" fillId="3" borderId="44" xfId="0" applyFill="1" applyBorder="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0" fillId="0" borderId="61" xfId="0" applyBorder="1" applyAlignment="1">
      <alignment horizontal="left" vertical="top" wrapText="1"/>
    </xf>
    <xf numFmtId="0" fontId="29" fillId="4" borderId="28" xfId="0" applyFont="1" applyFill="1" applyBorder="1" applyAlignment="1">
      <alignment horizontal="left" vertical="top"/>
    </xf>
    <xf numFmtId="0" fontId="9" fillId="5" borderId="73" xfId="0" applyFont="1" applyFill="1" applyBorder="1" applyAlignment="1">
      <alignment horizontal="left" vertical="top"/>
    </xf>
    <xf numFmtId="0" fontId="29" fillId="4" borderId="66" xfId="0" applyFont="1" applyFill="1" applyBorder="1" applyAlignment="1">
      <alignment horizontal="left" vertical="top"/>
    </xf>
    <xf numFmtId="0" fontId="9" fillId="5" borderId="67" xfId="0" applyFont="1" applyFill="1" applyBorder="1" applyAlignment="1">
      <alignment horizontal="left" vertical="top"/>
    </xf>
    <xf numFmtId="0" fontId="0" fillId="0" borderId="62" xfId="0" applyBorder="1" applyAlignment="1">
      <alignment horizontal="left" vertical="top" wrapText="1"/>
    </xf>
    <xf numFmtId="0" fontId="38" fillId="0" borderId="75" xfId="10" applyBorder="1" applyAlignment="1">
      <alignment horizontal="left" vertical="top" wrapText="1"/>
    </xf>
    <xf numFmtId="0" fontId="16" fillId="0" borderId="0" xfId="0" applyFont="1" applyAlignment="1">
      <alignment horizontal="left" vertical="top"/>
    </xf>
    <xf numFmtId="0" fontId="39" fillId="0" borderId="0" xfId="0" applyFont="1" applyAlignment="1">
      <alignment horizontal="left" vertical="top"/>
    </xf>
    <xf numFmtId="0" fontId="19" fillId="4" borderId="2" xfId="0" applyFont="1" applyFill="1" applyBorder="1" applyAlignment="1">
      <alignment horizontal="left" vertical="top" wrapText="1"/>
    </xf>
    <xf numFmtId="0" fontId="19" fillId="4" borderId="3" xfId="0" applyFont="1" applyFill="1" applyBorder="1" applyAlignment="1">
      <alignment horizontal="left" vertical="top" wrapText="1"/>
    </xf>
    <xf numFmtId="0" fontId="19" fillId="4" borderId="7" xfId="0" applyFont="1" applyFill="1" applyBorder="1" applyAlignment="1">
      <alignment horizontal="left" vertical="top" wrapText="1"/>
    </xf>
    <xf numFmtId="0" fontId="0" fillId="4" borderId="21" xfId="0" applyFill="1" applyBorder="1" applyAlignment="1">
      <alignment horizontal="left" vertical="top"/>
    </xf>
    <xf numFmtId="0" fontId="0" fillId="4" borderId="0" xfId="0" applyFill="1" applyAlignment="1">
      <alignment horizontal="left" vertical="top"/>
    </xf>
    <xf numFmtId="0" fontId="0" fillId="4" borderId="20" xfId="0" applyFill="1" applyBorder="1" applyAlignment="1">
      <alignment horizontal="left" vertical="top"/>
    </xf>
    <xf numFmtId="0" fontId="0" fillId="4" borderId="67" xfId="11" applyFont="1" applyFill="1" applyBorder="1" applyAlignment="1">
      <alignment horizontal="left" vertical="top" wrapText="1"/>
    </xf>
    <xf numFmtId="0" fontId="0" fillId="4" borderId="73" xfId="0" applyFill="1" applyBorder="1" applyAlignment="1">
      <alignment horizontal="left" vertical="top" wrapText="1"/>
    </xf>
    <xf numFmtId="0" fontId="28" fillId="4" borderId="0" xfId="0" applyFont="1" applyFill="1" applyAlignment="1">
      <alignment horizontal="left" vertical="top"/>
    </xf>
    <xf numFmtId="0" fontId="0" fillId="4" borderId="67" xfId="0" applyFill="1" applyBorder="1" applyAlignment="1">
      <alignment horizontal="left" vertical="top" wrapText="1"/>
    </xf>
    <xf numFmtId="0" fontId="28" fillId="0" borderId="0" xfId="0" applyFont="1" applyAlignment="1">
      <alignment horizontal="left" vertical="top"/>
    </xf>
    <xf numFmtId="0" fontId="7" fillId="5" borderId="67" xfId="11" applyFont="1" applyFill="1" applyBorder="1" applyAlignment="1">
      <alignment horizontal="center" vertical="center" wrapText="1"/>
    </xf>
    <xf numFmtId="0" fontId="0" fillId="0" borderId="2" xfId="0" applyBorder="1" applyAlignment="1">
      <alignment horizontal="left" vertical="top" wrapText="1"/>
    </xf>
    <xf numFmtId="0" fontId="37" fillId="4" borderId="13" xfId="11" applyFont="1" applyFill="1" applyBorder="1" applyAlignment="1">
      <alignment horizontal="left" vertical="top" wrapText="1"/>
    </xf>
    <xf numFmtId="0" fontId="9" fillId="4" borderId="49" xfId="11" applyFont="1" applyFill="1" applyBorder="1" applyAlignment="1">
      <alignment horizontal="left" vertical="top"/>
    </xf>
    <xf numFmtId="0" fontId="2" fillId="4" borderId="8" xfId="11" applyFont="1" applyFill="1" applyBorder="1" applyAlignment="1">
      <alignment horizontal="left" vertical="top" wrapText="1"/>
    </xf>
    <xf numFmtId="0" fontId="0" fillId="4" borderId="29" xfId="11" applyFont="1" applyFill="1" applyBorder="1" applyAlignment="1">
      <alignment horizontal="left" vertical="top"/>
    </xf>
    <xf numFmtId="0" fontId="0" fillId="4" borderId="8" xfId="11" applyFont="1" applyFill="1" applyBorder="1" applyAlignment="1">
      <alignment horizontal="left" vertical="top" wrapText="1"/>
    </xf>
    <xf numFmtId="0" fontId="13" fillId="4" borderId="8" xfId="11" applyFont="1" applyFill="1" applyBorder="1" applyAlignment="1">
      <alignment horizontal="left" vertical="top" wrapText="1"/>
    </xf>
    <xf numFmtId="0" fontId="9" fillId="4" borderId="21" xfId="11" applyFont="1" applyFill="1" applyBorder="1" applyAlignment="1">
      <alignment horizontal="left" vertical="top"/>
    </xf>
    <xf numFmtId="0" fontId="18" fillId="4" borderId="3" xfId="11" applyFont="1" applyFill="1" applyBorder="1" applyAlignment="1">
      <alignment horizontal="left" vertical="top" wrapText="1"/>
    </xf>
    <xf numFmtId="0" fontId="0" fillId="4" borderId="4" xfId="11" applyFont="1" applyFill="1" applyBorder="1" applyAlignment="1">
      <alignment horizontal="left" vertical="top" wrapText="1"/>
    </xf>
    <xf numFmtId="0" fontId="2" fillId="4" borderId="2" xfId="11" applyFont="1" applyFill="1" applyBorder="1" applyAlignment="1">
      <alignment horizontal="left" vertical="top" wrapText="1"/>
    </xf>
    <xf numFmtId="0" fontId="2" fillId="3" borderId="36" xfId="11" applyFont="1" applyFill="1" applyBorder="1" applyAlignment="1" applyProtection="1">
      <alignment horizontal="left" vertical="top" wrapText="1"/>
      <protection locked="0"/>
    </xf>
    <xf numFmtId="0" fontId="2" fillId="3" borderId="11" xfId="11" applyFont="1" applyFill="1" applyBorder="1" applyAlignment="1" applyProtection="1">
      <alignment horizontal="left" vertical="top"/>
      <protection locked="0"/>
    </xf>
    <xf numFmtId="0" fontId="2" fillId="4" borderId="44" xfId="11" applyFont="1" applyFill="1" applyBorder="1" applyAlignment="1">
      <alignment horizontal="left" vertical="top"/>
    </xf>
    <xf numFmtId="167" fontId="9" fillId="0" borderId="5" xfId="11" applyNumberFormat="1" applyFont="1" applyBorder="1" applyAlignment="1">
      <alignment horizontal="left" vertical="top"/>
    </xf>
    <xf numFmtId="0" fontId="9" fillId="3" borderId="69" xfId="11" applyFont="1" applyFill="1" applyBorder="1" applyAlignment="1" applyProtection="1">
      <alignment horizontal="left" vertical="top"/>
      <protection locked="0"/>
    </xf>
    <xf numFmtId="0" fontId="0" fillId="3" borderId="11" xfId="11" applyFont="1" applyFill="1" applyBorder="1" applyAlignment="1" applyProtection="1">
      <alignment horizontal="left" vertical="top"/>
      <protection locked="0"/>
    </xf>
    <xf numFmtId="0" fontId="0" fillId="3" borderId="11" xfId="11" applyFont="1" applyFill="1" applyBorder="1" applyAlignment="1" applyProtection="1">
      <alignment horizontal="left" vertical="top" wrapText="1"/>
      <protection locked="0"/>
    </xf>
    <xf numFmtId="0" fontId="0" fillId="3" borderId="31" xfId="11" applyFont="1" applyFill="1" applyBorder="1" applyAlignment="1" applyProtection="1">
      <alignment horizontal="left" vertical="top" wrapText="1"/>
      <protection locked="0"/>
    </xf>
    <xf numFmtId="0" fontId="0" fillId="3" borderId="40" xfId="11" applyFont="1" applyFill="1" applyBorder="1" applyAlignment="1" applyProtection="1">
      <alignment horizontal="left" vertical="top" wrapText="1"/>
      <protection locked="0"/>
    </xf>
    <xf numFmtId="166" fontId="0" fillId="3" borderId="11" xfId="11" applyNumberFormat="1" applyFont="1" applyFill="1" applyBorder="1" applyAlignment="1" applyProtection="1">
      <alignment horizontal="left" vertical="top" wrapText="1"/>
      <protection locked="0"/>
    </xf>
    <xf numFmtId="0" fontId="15" fillId="3" borderId="74" xfId="11" applyFill="1" applyBorder="1" applyAlignment="1" applyProtection="1">
      <alignment horizontal="left" vertical="top"/>
      <protection locked="0"/>
    </xf>
    <xf numFmtId="0" fontId="15" fillId="3" borderId="74" xfId="11" applyFill="1" applyBorder="1" applyProtection="1">
      <protection locked="0"/>
    </xf>
    <xf numFmtId="0" fontId="19" fillId="3" borderId="74" xfId="11" applyFont="1" applyFill="1" applyBorder="1" applyAlignment="1" applyProtection="1">
      <alignment horizontal="left" vertical="top"/>
      <protection locked="0"/>
    </xf>
    <xf numFmtId="0" fontId="0" fillId="0" borderId="67" xfId="11" applyFont="1" applyBorder="1" applyAlignment="1">
      <alignment horizontal="left" vertical="top" wrapText="1"/>
    </xf>
    <xf numFmtId="0" fontId="42" fillId="5" borderId="67" xfId="11" applyFont="1" applyFill="1" applyBorder="1" applyAlignment="1">
      <alignment horizontal="center" vertical="top"/>
    </xf>
    <xf numFmtId="0" fontId="43" fillId="5" borderId="67" xfId="11" applyFont="1" applyFill="1" applyBorder="1" applyAlignment="1">
      <alignment horizontal="center" vertical="center"/>
    </xf>
    <xf numFmtId="0" fontId="22" fillId="0" borderId="74" xfId="11" applyFont="1" applyBorder="1" applyAlignment="1">
      <alignment horizontal="left" vertical="top"/>
    </xf>
    <xf numFmtId="0" fontId="22" fillId="0" borderId="62" xfId="11" applyFont="1" applyBorder="1" applyAlignment="1">
      <alignment horizontal="left" vertical="top"/>
    </xf>
    <xf numFmtId="0" fontId="2" fillId="3" borderId="54" xfId="11" applyFont="1" applyFill="1" applyBorder="1" applyAlignment="1" applyProtection="1">
      <alignment horizontal="left" vertical="top"/>
      <protection locked="0"/>
    </xf>
    <xf numFmtId="167" fontId="2" fillId="3" borderId="11" xfId="13" applyNumberFormat="1" applyFont="1" applyFill="1" applyBorder="1" applyAlignment="1" applyProtection="1">
      <alignment horizontal="left" vertical="top"/>
      <protection locked="0"/>
    </xf>
    <xf numFmtId="1" fontId="2" fillId="3" borderId="11" xfId="11" applyNumberFormat="1" applyFont="1" applyFill="1" applyBorder="1" applyAlignment="1" applyProtection="1">
      <alignment horizontal="left" vertical="top" wrapText="1"/>
      <protection locked="0"/>
    </xf>
    <xf numFmtId="0" fontId="15" fillId="3" borderId="62" xfId="11" applyFill="1" applyBorder="1" applyProtection="1">
      <protection locked="0"/>
    </xf>
    <xf numFmtId="0" fontId="20" fillId="0" borderId="73" xfId="11" applyFont="1" applyBorder="1" applyAlignment="1">
      <alignment horizontal="left" vertical="top" wrapText="1"/>
    </xf>
    <xf numFmtId="0" fontId="42" fillId="5" borderId="67" xfId="0" applyFont="1" applyFill="1" applyBorder="1" applyAlignment="1">
      <alignment horizontal="center" vertical="center"/>
    </xf>
    <xf numFmtId="0" fontId="0" fillId="0" borderId="67" xfId="0" applyBorder="1" applyAlignment="1">
      <alignment vertical="top" wrapText="1"/>
    </xf>
    <xf numFmtId="0" fontId="0" fillId="3" borderId="73" xfId="0" applyFill="1" applyBorder="1" applyAlignment="1" applyProtection="1">
      <alignment horizontal="left" vertical="top"/>
      <protection locked="0"/>
    </xf>
    <xf numFmtId="0" fontId="0" fillId="3" borderId="74" xfId="0" applyFill="1" applyBorder="1" applyAlignment="1" applyProtection="1">
      <alignment horizontal="left" vertical="top"/>
      <protection locked="0"/>
    </xf>
    <xf numFmtId="0" fontId="0" fillId="3" borderId="62" xfId="0" applyFill="1" applyBorder="1" applyAlignment="1" applyProtection="1">
      <alignment horizontal="left" vertical="top"/>
      <protection locked="0"/>
    </xf>
    <xf numFmtId="0" fontId="0" fillId="3" borderId="73" xfId="0" applyFill="1" applyBorder="1" applyAlignment="1" applyProtection="1">
      <alignment horizontal="left" vertical="center"/>
      <protection locked="0"/>
    </xf>
    <xf numFmtId="0" fontId="0" fillId="3" borderId="74" xfId="0" applyFill="1" applyBorder="1" applyAlignment="1" applyProtection="1">
      <alignment horizontal="left" vertical="center"/>
      <protection locked="0"/>
    </xf>
    <xf numFmtId="0" fontId="2" fillId="3" borderId="40" xfId="11" applyFont="1" applyFill="1" applyBorder="1" applyAlignment="1" applyProtection="1">
      <alignment horizontal="left" vertical="top"/>
      <protection locked="0"/>
    </xf>
    <xf numFmtId="0" fontId="44" fillId="5" borderId="67" xfId="11" applyFont="1" applyFill="1" applyBorder="1" applyAlignment="1">
      <alignment horizontal="center" vertical="center"/>
    </xf>
    <xf numFmtId="0" fontId="2" fillId="3" borderId="73" xfId="11" applyFont="1" applyFill="1" applyBorder="1" applyAlignment="1" applyProtection="1">
      <alignment vertical="top"/>
      <protection locked="0"/>
    </xf>
    <xf numFmtId="0" fontId="0" fillId="3" borderId="62" xfId="0" applyFill="1" applyBorder="1" applyProtection="1">
      <protection locked="0"/>
    </xf>
    <xf numFmtId="0" fontId="9" fillId="5" borderId="16" xfId="11" applyFont="1" applyFill="1" applyBorder="1" applyAlignment="1">
      <alignment horizontal="left" vertical="top"/>
    </xf>
    <xf numFmtId="0" fontId="9" fillId="5" borderId="65" xfId="11" applyFont="1" applyFill="1" applyBorder="1" applyAlignment="1">
      <alignment horizontal="left" vertical="top"/>
    </xf>
    <xf numFmtId="0" fontId="38" fillId="0" borderId="0" xfId="10" applyBorder="1" applyAlignment="1" applyProtection="1">
      <alignment horizontal="left" vertical="top"/>
    </xf>
    <xf numFmtId="0" fontId="38" fillId="0" borderId="0" xfId="10" applyAlignment="1" applyProtection="1">
      <alignment horizontal="left" vertical="top"/>
    </xf>
    <xf numFmtId="0" fontId="38" fillId="4" borderId="21" xfId="10" applyFill="1" applyBorder="1" applyAlignment="1" applyProtection="1">
      <alignment horizontal="left" vertical="top" wrapText="1"/>
    </xf>
    <xf numFmtId="0" fontId="38" fillId="4" borderId="0" xfId="10" applyFill="1" applyBorder="1" applyAlignment="1" applyProtection="1">
      <alignment horizontal="left" vertical="top" wrapText="1"/>
    </xf>
    <xf numFmtId="0" fontId="2" fillId="4" borderId="15" xfId="11" applyFont="1" applyFill="1" applyBorder="1" applyAlignment="1">
      <alignment horizontal="left" vertical="top"/>
    </xf>
    <xf numFmtId="0" fontId="2" fillId="4" borderId="15" xfId="11" applyFont="1" applyFill="1" applyBorder="1" applyAlignment="1">
      <alignment horizontal="left" vertical="top" wrapText="1"/>
    </xf>
    <xf numFmtId="0" fontId="28" fillId="0" borderId="65" xfId="0" applyFont="1" applyBorder="1" applyAlignment="1">
      <alignment horizontal="left" vertical="top"/>
    </xf>
    <xf numFmtId="164" fontId="0" fillId="3" borderId="2" xfId="0" applyNumberFormat="1" applyFill="1" applyBorder="1" applyAlignment="1" applyProtection="1">
      <alignment horizontal="left" vertical="top"/>
      <protection locked="0"/>
    </xf>
    <xf numFmtId="0" fontId="29" fillId="0" borderId="0" xfId="0" applyFont="1" applyAlignment="1">
      <alignment horizontal="left" vertical="top"/>
    </xf>
    <xf numFmtId="165" fontId="13" fillId="4" borderId="2" xfId="0" applyNumberFormat="1" applyFont="1" applyFill="1" applyBorder="1" applyAlignment="1">
      <alignment horizontal="left" vertical="top"/>
    </xf>
    <xf numFmtId="0" fontId="9" fillId="5" borderId="16" xfId="0" applyFont="1" applyFill="1" applyBorder="1" applyAlignment="1">
      <alignment horizontal="left" vertical="top"/>
    </xf>
    <xf numFmtId="0" fontId="9" fillId="5" borderId="65" xfId="0" applyFont="1" applyFill="1" applyBorder="1" applyAlignment="1">
      <alignment horizontal="left" vertical="top"/>
    </xf>
    <xf numFmtId="0" fontId="0" fillId="0" borderId="2" xfId="0" applyBorder="1" applyAlignment="1">
      <alignment horizontal="left" vertical="top"/>
    </xf>
    <xf numFmtId="0" fontId="0" fillId="3" borderId="2" xfId="0" applyFill="1" applyBorder="1" applyAlignment="1" applyProtection="1">
      <alignment horizontal="left" vertical="top"/>
      <protection locked="0"/>
    </xf>
    <xf numFmtId="0" fontId="12" fillId="5" borderId="24" xfId="5" applyFont="1" applyFill="1" applyBorder="1" applyAlignment="1">
      <alignment horizontal="left" vertical="top"/>
    </xf>
    <xf numFmtId="0" fontId="12" fillId="5" borderId="28" xfId="5" applyFont="1" applyFill="1" applyBorder="1" applyAlignment="1">
      <alignment horizontal="left" vertical="top"/>
    </xf>
    <xf numFmtId="0" fontId="12" fillId="5" borderId="16" xfId="0" applyFont="1" applyFill="1" applyBorder="1" applyAlignment="1">
      <alignment horizontal="left" vertical="top"/>
    </xf>
    <xf numFmtId="0" fontId="12" fillId="5" borderId="65" xfId="0" applyFont="1" applyFill="1" applyBorder="1" applyAlignment="1">
      <alignment horizontal="left" vertical="top"/>
    </xf>
    <xf numFmtId="0" fontId="16" fillId="0" borderId="65" xfId="0" applyFont="1" applyBorder="1" applyAlignment="1">
      <alignment horizontal="left" vertical="top"/>
    </xf>
    <xf numFmtId="0" fontId="38" fillId="0" borderId="0" xfId="10" applyBorder="1" applyAlignment="1">
      <alignment horizontal="left" vertical="top"/>
    </xf>
    <xf numFmtId="3" fontId="0" fillId="3" borderId="2" xfId="0" applyNumberFormat="1" applyFill="1" applyBorder="1" applyAlignment="1" applyProtection="1">
      <alignment horizontal="left" vertical="top"/>
      <protection locked="0"/>
    </xf>
    <xf numFmtId="169" fontId="0" fillId="0" borderId="2" xfId="0" applyNumberFormat="1" applyBorder="1" applyAlignment="1">
      <alignment horizontal="left" vertical="top"/>
    </xf>
    <xf numFmtId="0" fontId="9" fillId="4" borderId="16" xfId="11" applyFont="1" applyFill="1" applyBorder="1" applyAlignment="1">
      <alignment horizontal="left" vertical="top"/>
    </xf>
    <xf numFmtId="0" fontId="9" fillId="4" borderId="65" xfId="11" applyFont="1" applyFill="1" applyBorder="1" applyAlignment="1">
      <alignment horizontal="left" vertical="top"/>
    </xf>
    <xf numFmtId="0" fontId="9" fillId="4" borderId="50" xfId="11" applyFont="1" applyFill="1" applyBorder="1" applyAlignment="1">
      <alignment horizontal="left" vertical="top"/>
    </xf>
    <xf numFmtId="0" fontId="12" fillId="5" borderId="24" xfId="0" applyFont="1" applyFill="1" applyBorder="1" applyAlignment="1">
      <alignment horizontal="left" vertical="top"/>
    </xf>
    <xf numFmtId="0" fontId="12" fillId="5" borderId="28" xfId="0" applyFont="1" applyFill="1" applyBorder="1" applyAlignment="1">
      <alignment horizontal="left" vertical="top"/>
    </xf>
    <xf numFmtId="0" fontId="0" fillId="3" borderId="11" xfId="0" applyFill="1" applyBorder="1" applyAlignment="1" applyProtection="1">
      <alignment horizontal="left" vertical="top"/>
      <protection locked="0"/>
    </xf>
    <xf numFmtId="3" fontId="13" fillId="3" borderId="2" xfId="5" applyNumberFormat="1" applyFont="1" applyFill="1" applyBorder="1" applyAlignment="1" applyProtection="1">
      <alignment horizontal="left" vertical="top"/>
      <protection locked="0"/>
    </xf>
    <xf numFmtId="3" fontId="13" fillId="3" borderId="11" xfId="5" applyNumberFormat="1" applyFont="1" applyFill="1" applyBorder="1" applyAlignment="1" applyProtection="1">
      <alignment horizontal="left" vertical="top"/>
      <protection locked="0"/>
    </xf>
    <xf numFmtId="0" fontId="38" fillId="0" borderId="0" xfId="10" applyAlignment="1">
      <alignment horizontal="left" vertical="top"/>
    </xf>
    <xf numFmtId="0" fontId="2" fillId="4" borderId="35" xfId="11" applyFont="1" applyFill="1" applyBorder="1" applyAlignment="1">
      <alignment horizontal="left" vertical="top"/>
    </xf>
    <xf numFmtId="0" fontId="9" fillId="4" borderId="48" xfId="11" applyFont="1" applyFill="1" applyBorder="1" applyAlignment="1">
      <alignment horizontal="left" vertical="top"/>
    </xf>
    <xf numFmtId="0" fontId="9" fillId="4" borderId="31" xfId="11" applyFont="1" applyFill="1" applyBorder="1" applyAlignment="1">
      <alignment horizontal="left" vertical="top"/>
    </xf>
    <xf numFmtId="0" fontId="9" fillId="4" borderId="35" xfId="11" applyFont="1" applyFill="1" applyBorder="1" applyAlignment="1">
      <alignment horizontal="left" vertical="top"/>
    </xf>
    <xf numFmtId="167" fontId="2" fillId="4" borderId="36" xfId="13" applyNumberFormat="1" applyFont="1" applyFill="1" applyBorder="1" applyAlignment="1" applyProtection="1">
      <alignment horizontal="left" vertical="top"/>
    </xf>
    <xf numFmtId="0" fontId="40" fillId="4" borderId="37" xfId="11" applyFont="1" applyFill="1" applyBorder="1" applyAlignment="1">
      <alignment horizontal="left" vertical="top" wrapText="1"/>
    </xf>
    <xf numFmtId="0" fontId="2" fillId="3" borderId="45" xfId="11" applyFont="1" applyFill="1" applyBorder="1" applyAlignment="1" applyProtection="1">
      <alignment horizontal="left" vertical="top" wrapText="1"/>
      <protection locked="0"/>
    </xf>
    <xf numFmtId="0" fontId="2" fillId="0" borderId="15" xfId="11" applyFont="1" applyBorder="1" applyAlignment="1">
      <alignment horizontal="left" vertical="top" wrapText="1"/>
    </xf>
    <xf numFmtId="0" fontId="2" fillId="0" borderId="11" xfId="11" applyFont="1" applyBorder="1" applyAlignment="1">
      <alignment horizontal="left" vertical="top" wrapText="1"/>
    </xf>
    <xf numFmtId="0" fontId="2" fillId="0" borderId="35" xfId="11" applyFont="1" applyBorder="1" applyAlignment="1">
      <alignment horizontal="left" vertical="top" wrapText="1"/>
    </xf>
    <xf numFmtId="0" fontId="2" fillId="0" borderId="44" xfId="11" applyFont="1" applyBorder="1" applyAlignment="1">
      <alignment horizontal="left" vertical="top" wrapText="1"/>
    </xf>
    <xf numFmtId="0" fontId="2" fillId="0" borderId="36" xfId="11" applyFont="1" applyBorder="1" applyAlignment="1">
      <alignment horizontal="left" vertical="top" wrapText="1"/>
    </xf>
    <xf numFmtId="0" fontId="2" fillId="4" borderId="32" xfId="11" applyFont="1" applyFill="1" applyBorder="1" applyAlignment="1">
      <alignment horizontal="left" vertical="top" wrapText="1"/>
    </xf>
    <xf numFmtId="0" fontId="2" fillId="3" borderId="27" xfId="11" applyFont="1" applyFill="1" applyBorder="1" applyAlignment="1" applyProtection="1">
      <alignment horizontal="left" vertical="top"/>
      <protection locked="0"/>
    </xf>
    <xf numFmtId="0" fontId="2" fillId="4" borderId="35" xfId="11" applyFont="1" applyFill="1" applyBorder="1" applyAlignment="1">
      <alignment horizontal="left" vertical="top" wrapText="1"/>
    </xf>
    <xf numFmtId="0" fontId="2" fillId="0" borderId="36" xfId="11" applyFont="1" applyBorder="1" applyAlignment="1">
      <alignment horizontal="left" vertical="top"/>
    </xf>
    <xf numFmtId="0" fontId="0" fillId="3" borderId="74" xfId="0" applyFill="1" applyBorder="1" applyProtection="1">
      <protection locked="0"/>
    </xf>
    <xf numFmtId="0" fontId="9" fillId="5" borderId="24" xfId="0" applyFont="1" applyFill="1" applyBorder="1" applyAlignment="1">
      <alignment horizontal="left" vertical="top"/>
    </xf>
    <xf numFmtId="0" fontId="9" fillId="5" borderId="28" xfId="0" applyFont="1" applyFill="1" applyBorder="1" applyAlignment="1">
      <alignment horizontal="left" vertical="top"/>
    </xf>
    <xf numFmtId="0" fontId="0" fillId="0" borderId="65" xfId="0" applyBorder="1" applyAlignment="1">
      <alignment horizontal="left" vertical="top"/>
    </xf>
    <xf numFmtId="0" fontId="0" fillId="0" borderId="68" xfId="0" applyBorder="1" applyAlignment="1">
      <alignment horizontal="left" vertical="top"/>
    </xf>
    <xf numFmtId="0" fontId="0" fillId="0" borderId="0" xfId="0" applyAlignment="1">
      <alignment horizontal="left" vertical="top"/>
    </xf>
    <xf numFmtId="0" fontId="0" fillId="0" borderId="76" xfId="0" applyBorder="1" applyAlignment="1">
      <alignment horizontal="left" vertical="top"/>
    </xf>
    <xf numFmtId="0" fontId="0" fillId="0" borderId="66" xfId="0" applyBorder="1" applyAlignment="1">
      <alignment horizontal="left" vertical="top"/>
    </xf>
    <xf numFmtId="0" fontId="9" fillId="4" borderId="65" xfId="0" applyFont="1" applyFill="1" applyBorder="1" applyAlignment="1">
      <alignment horizontal="left" vertical="top"/>
    </xf>
    <xf numFmtId="0" fontId="0" fillId="4" borderId="24" xfId="0" applyFill="1" applyBorder="1" applyAlignment="1">
      <alignment horizontal="left" vertical="top"/>
    </xf>
    <xf numFmtId="0" fontId="0" fillId="4" borderId="28" xfId="0" applyFill="1" applyBorder="1" applyAlignment="1">
      <alignment horizontal="left" vertical="top"/>
    </xf>
    <xf numFmtId="0" fontId="9" fillId="4" borderId="16" xfId="0" applyFont="1" applyFill="1" applyBorder="1" applyAlignment="1">
      <alignment horizontal="left" vertical="top"/>
    </xf>
    <xf numFmtId="0" fontId="9" fillId="4" borderId="34" xfId="0" applyFont="1" applyFill="1" applyBorder="1" applyAlignment="1">
      <alignment horizontal="left" vertical="top"/>
    </xf>
    <xf numFmtId="0" fontId="9" fillId="4" borderId="37" xfId="0" applyFont="1" applyFill="1" applyBorder="1" applyAlignment="1">
      <alignment horizontal="left" vertical="top"/>
    </xf>
    <xf numFmtId="0" fontId="0" fillId="4" borderId="18" xfId="0" applyFill="1" applyBorder="1" applyAlignment="1">
      <alignment horizontal="left" vertical="top"/>
    </xf>
    <xf numFmtId="0" fontId="0" fillId="4" borderId="66" xfId="0" applyFill="1" applyBorder="1" applyAlignment="1">
      <alignment horizontal="left" vertical="top"/>
    </xf>
    <xf numFmtId="0" fontId="13" fillId="0" borderId="60" xfId="0" applyFont="1" applyBorder="1" applyAlignment="1">
      <alignment horizontal="left" vertical="top"/>
    </xf>
    <xf numFmtId="0" fontId="15" fillId="3" borderId="20" xfId="11" applyFill="1" applyBorder="1" applyAlignment="1" applyProtection="1">
      <alignment horizontal="left" vertical="top"/>
      <protection locked="0"/>
    </xf>
    <xf numFmtId="0" fontId="38" fillId="3" borderId="36" xfId="10" applyFill="1" applyBorder="1" applyAlignment="1" applyProtection="1">
      <alignment horizontal="left" vertical="top" wrapText="1"/>
      <protection locked="0"/>
    </xf>
    <xf numFmtId="0" fontId="9" fillId="4" borderId="27" xfId="11" applyFont="1" applyFill="1" applyBorder="1" applyAlignment="1">
      <alignment horizontal="left" vertical="top"/>
    </xf>
    <xf numFmtId="0" fontId="0" fillId="4" borderId="48" xfId="11" applyFont="1" applyFill="1" applyBorder="1" applyAlignment="1">
      <alignment horizontal="left" vertical="top" wrapText="1"/>
    </xf>
    <xf numFmtId="0" fontId="0" fillId="4" borderId="15" xfId="11" applyFont="1" applyFill="1" applyBorder="1" applyAlignment="1">
      <alignment horizontal="left" vertical="top" wrapText="1"/>
    </xf>
    <xf numFmtId="0" fontId="0" fillId="3" borderId="36" xfId="11" applyFont="1" applyFill="1" applyBorder="1" applyAlignment="1" applyProtection="1">
      <alignment horizontal="left" vertical="top" wrapText="1"/>
      <protection locked="0"/>
    </xf>
    <xf numFmtId="0" fontId="9" fillId="4" borderId="53" xfId="11" applyFont="1" applyFill="1" applyBorder="1" applyAlignment="1">
      <alignment horizontal="left" vertical="top" wrapText="1"/>
    </xf>
    <xf numFmtId="0" fontId="15" fillId="3" borderId="20" xfId="11" applyFill="1" applyBorder="1" applyProtection="1">
      <protection locked="0"/>
    </xf>
    <xf numFmtId="0" fontId="9" fillId="4" borderId="46" xfId="11" applyFont="1" applyFill="1" applyBorder="1" applyAlignment="1">
      <alignment horizontal="left" vertical="top"/>
    </xf>
    <xf numFmtId="0" fontId="9" fillId="4" borderId="37" xfId="11" applyFont="1" applyFill="1" applyBorder="1" applyAlignment="1">
      <alignment horizontal="left" vertical="top"/>
    </xf>
    <xf numFmtId="167" fontId="9" fillId="0" borderId="36" xfId="13" applyNumberFormat="1" applyFont="1" applyFill="1" applyBorder="1" applyAlignment="1" applyProtection="1">
      <alignment horizontal="left" vertical="top"/>
    </xf>
    <xf numFmtId="0" fontId="9" fillId="0" borderId="46" xfId="0" applyFont="1" applyBorder="1" applyAlignment="1">
      <alignment horizontal="left" vertical="top"/>
    </xf>
    <xf numFmtId="0" fontId="9" fillId="0" borderId="31" xfId="0" applyFont="1" applyBorder="1" applyAlignment="1">
      <alignment horizontal="left" vertical="top"/>
    </xf>
    <xf numFmtId="0" fontId="13" fillId="0" borderId="68" xfId="0" applyFont="1" applyBorder="1" applyAlignment="1">
      <alignment horizontal="left" vertical="top"/>
    </xf>
    <xf numFmtId="0" fontId="0" fillId="3" borderId="31" xfId="0" applyFill="1" applyBorder="1" applyAlignment="1" applyProtection="1">
      <alignment horizontal="left" vertical="top"/>
      <protection locked="0"/>
    </xf>
    <xf numFmtId="0" fontId="9" fillId="0" borderId="48" xfId="0" applyFont="1" applyBorder="1" applyAlignment="1">
      <alignment horizontal="left" vertical="top"/>
    </xf>
    <xf numFmtId="168" fontId="13" fillId="0" borderId="44" xfId="0" applyNumberFormat="1" applyFont="1" applyBorder="1" applyAlignment="1">
      <alignment horizontal="left" vertical="top"/>
    </xf>
    <xf numFmtId="0" fontId="9" fillId="0" borderId="31" xfId="0" applyFont="1" applyBorder="1" applyAlignment="1" applyProtection="1">
      <alignment horizontal="left" vertical="top"/>
      <protection locked="0"/>
    </xf>
    <xf numFmtId="0" fontId="13" fillId="0" borderId="65" xfId="0" applyFont="1" applyBorder="1" applyAlignment="1">
      <alignment horizontal="left" vertical="top"/>
    </xf>
    <xf numFmtId="0" fontId="13" fillId="0" borderId="0" xfId="0" applyFont="1" applyAlignment="1">
      <alignment horizontal="left" vertical="top"/>
    </xf>
    <xf numFmtId="0" fontId="2" fillId="3" borderId="11" xfId="11" applyFont="1" applyFill="1" applyBorder="1" applyAlignment="1" applyProtection="1">
      <alignment horizontal="left" vertical="top" wrapText="1"/>
      <protection locked="0"/>
    </xf>
    <xf numFmtId="0" fontId="0" fillId="0" borderId="25" xfId="0" applyBorder="1" applyAlignment="1">
      <alignment horizontal="left" vertical="top" wrapText="1"/>
    </xf>
    <xf numFmtId="0" fontId="0" fillId="0" borderId="30" xfId="0" applyBorder="1" applyAlignment="1">
      <alignment horizontal="left" vertical="top" wrapText="1"/>
    </xf>
    <xf numFmtId="0" fontId="0" fillId="0" borderId="17" xfId="0" applyBorder="1" applyAlignment="1">
      <alignment horizontal="left" vertical="top" wrapText="1"/>
    </xf>
    <xf numFmtId="0" fontId="0" fillId="0" borderId="15" xfId="0" applyBorder="1" applyAlignment="1">
      <alignment horizontal="left" vertical="top" wrapText="1"/>
    </xf>
    <xf numFmtId="0" fontId="12" fillId="4" borderId="46" xfId="0" applyFont="1" applyFill="1" applyBorder="1" applyAlignment="1">
      <alignment horizontal="left" vertical="top"/>
    </xf>
    <xf numFmtId="0" fontId="9" fillId="4" borderId="49" xfId="0" applyFont="1" applyFill="1" applyBorder="1" applyAlignment="1">
      <alignment horizontal="left" vertical="top" wrapText="1"/>
    </xf>
    <xf numFmtId="0" fontId="9" fillId="4" borderId="50" xfId="0" applyFont="1" applyFill="1" applyBorder="1" applyAlignment="1">
      <alignment horizontal="left" vertical="top"/>
    </xf>
    <xf numFmtId="0" fontId="0" fillId="0" borderId="12" xfId="0" applyBorder="1" applyAlignment="1">
      <alignment horizontal="left" vertical="top" wrapText="1"/>
    </xf>
    <xf numFmtId="0" fontId="9" fillId="0" borderId="31" xfId="0" applyFont="1" applyBorder="1" applyAlignment="1">
      <alignment horizontal="left" vertical="top" wrapText="1"/>
    </xf>
    <xf numFmtId="0" fontId="0" fillId="0" borderId="32" xfId="0" applyBorder="1" applyAlignment="1">
      <alignment horizontal="left" vertical="top" wrapText="1"/>
    </xf>
    <xf numFmtId="0" fontId="0" fillId="4" borderId="35" xfId="11" applyFont="1" applyFill="1" applyBorder="1" applyAlignment="1">
      <alignment horizontal="left" vertical="top" wrapText="1"/>
    </xf>
    <xf numFmtId="0" fontId="0" fillId="0" borderId="33" xfId="0" applyBorder="1" applyAlignment="1">
      <alignment horizontal="left" vertical="top" wrapText="1"/>
    </xf>
    <xf numFmtId="0" fontId="9" fillId="5" borderId="25" xfId="11" applyFont="1" applyFill="1" applyBorder="1" applyAlignment="1">
      <alignment horizontal="left" vertical="top"/>
    </xf>
    <xf numFmtId="0" fontId="9" fillId="0" borderId="48" xfId="0" applyFont="1" applyBorder="1" applyAlignment="1">
      <alignment horizontal="left" vertical="top" wrapText="1"/>
    </xf>
    <xf numFmtId="0" fontId="9" fillId="0" borderId="15" xfId="0" applyFont="1" applyBorder="1" applyAlignment="1">
      <alignment horizontal="left" vertical="top" wrapText="1"/>
    </xf>
    <xf numFmtId="0" fontId="9" fillId="0" borderId="56" xfId="0" applyFont="1" applyBorder="1" applyAlignment="1">
      <alignment horizontal="left" vertical="top" wrapText="1"/>
    </xf>
    <xf numFmtId="0" fontId="36" fillId="0" borderId="64" xfId="0" applyFont="1" applyBorder="1" applyAlignment="1">
      <alignment horizontal="left" vertical="top" wrapText="1"/>
    </xf>
    <xf numFmtId="0" fontId="0" fillId="0" borderId="77"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60" xfId="0" applyBorder="1" applyAlignment="1">
      <alignment horizontal="left" vertical="top" wrapText="1"/>
    </xf>
    <xf numFmtId="0" fontId="0" fillId="0" borderId="44" xfId="0" applyBorder="1" applyAlignment="1">
      <alignment horizontal="left" vertical="top" wrapText="1"/>
    </xf>
    <xf numFmtId="0" fontId="3" fillId="10" borderId="0" xfId="0" applyFont="1" applyFill="1"/>
    <xf numFmtId="0" fontId="3" fillId="8" borderId="0" xfId="0" applyFont="1" applyFill="1"/>
    <xf numFmtId="0" fontId="3" fillId="9" borderId="0" xfId="0" applyFont="1" applyFill="1"/>
    <xf numFmtId="0" fontId="3" fillId="11" borderId="0" xfId="0" applyFont="1" applyFill="1"/>
    <xf numFmtId="0" fontId="0" fillId="0" borderId="3" xfId="0" applyBorder="1" applyAlignment="1">
      <alignment horizontal="left" vertical="top" wrapText="1"/>
    </xf>
    <xf numFmtId="0" fontId="0" fillId="0" borderId="8" xfId="0" applyBorder="1" applyAlignment="1">
      <alignment horizontal="left" vertical="top" wrapText="1"/>
    </xf>
    <xf numFmtId="0" fontId="3" fillId="8" borderId="0" xfId="0" quotePrefix="1" applyFont="1" applyFill="1"/>
    <xf numFmtId="0" fontId="3" fillId="12" borderId="0" xfId="0" applyFont="1" applyFill="1"/>
    <xf numFmtId="0" fontId="0" fillId="0" borderId="48"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0" xfId="0" applyAlignment="1">
      <alignment horizontal="left" vertical="top" wrapText="1"/>
    </xf>
    <xf numFmtId="2" fontId="0" fillId="0" borderId="44" xfId="0" applyNumberFormat="1" applyBorder="1" applyAlignment="1">
      <alignment horizontal="left" vertical="top" wrapText="1"/>
    </xf>
    <xf numFmtId="0" fontId="0" fillId="0" borderId="74" xfId="0" applyBorder="1"/>
    <xf numFmtId="0" fontId="0" fillId="0" borderId="73" xfId="0" applyBorder="1" applyAlignment="1">
      <alignment horizontal="left" vertical="top" wrapText="1"/>
    </xf>
    <xf numFmtId="0" fontId="9" fillId="4" borderId="47" xfId="0" applyFont="1" applyFill="1" applyBorder="1" applyAlignment="1">
      <alignment horizontal="left" vertical="top" wrapText="1"/>
    </xf>
    <xf numFmtId="0" fontId="9" fillId="4" borderId="32" xfId="0" applyFont="1" applyFill="1" applyBorder="1" applyAlignment="1">
      <alignment horizontal="left" vertical="top"/>
    </xf>
    <xf numFmtId="0" fontId="9" fillId="4" borderId="21" xfId="0" applyFont="1" applyFill="1" applyBorder="1" applyAlignment="1">
      <alignment horizontal="left" vertical="top" wrapText="1"/>
    </xf>
    <xf numFmtId="0" fontId="9" fillId="4" borderId="0" xfId="0" applyFont="1" applyFill="1" applyAlignment="1">
      <alignment horizontal="left" vertical="top"/>
    </xf>
    <xf numFmtId="170" fontId="0" fillId="0" borderId="0" xfId="0" applyNumberFormat="1"/>
    <xf numFmtId="170" fontId="0" fillId="3" borderId="37" xfId="0" applyNumberFormat="1" applyFill="1" applyBorder="1" applyAlignment="1">
      <alignment horizontal="center"/>
    </xf>
    <xf numFmtId="170" fontId="0" fillId="3" borderId="35" xfId="0" applyNumberFormat="1" applyFill="1" applyBorder="1" applyAlignment="1">
      <alignment horizontal="center"/>
    </xf>
    <xf numFmtId="170" fontId="0" fillId="3" borderId="0" xfId="0" applyNumberFormat="1" applyFill="1" applyAlignment="1">
      <alignment horizontal="center"/>
    </xf>
    <xf numFmtId="170" fontId="0" fillId="3" borderId="56" xfId="0" applyNumberFormat="1" applyFill="1" applyBorder="1" applyAlignment="1">
      <alignment horizontal="center"/>
    </xf>
    <xf numFmtId="170" fontId="0" fillId="3" borderId="32" xfId="0" applyNumberFormat="1" applyFill="1" applyBorder="1" applyAlignment="1">
      <alignment horizontal="center"/>
    </xf>
    <xf numFmtId="170" fontId="0" fillId="3" borderId="48" xfId="0" applyNumberFormat="1" applyFill="1" applyBorder="1" applyAlignment="1">
      <alignment horizontal="center"/>
    </xf>
    <xf numFmtId="171" fontId="0" fillId="0" borderId="2" xfId="0" applyNumberFormat="1" applyBorder="1" applyAlignment="1">
      <alignment horizontal="left" vertical="top" wrapText="1"/>
    </xf>
    <xf numFmtId="171" fontId="0" fillId="3" borderId="2" xfId="0" applyNumberFormat="1" applyFill="1" applyBorder="1" applyAlignment="1" applyProtection="1">
      <alignment horizontal="left" vertical="top" wrapText="1"/>
      <protection locked="0"/>
    </xf>
    <xf numFmtId="171" fontId="9" fillId="0" borderId="64" xfId="0" applyNumberFormat="1" applyFont="1" applyBorder="1" applyAlignment="1">
      <alignment horizontal="left" vertical="top" wrapText="1"/>
    </xf>
    <xf numFmtId="0" fontId="0" fillId="0" borderId="3" xfId="0" applyBorder="1" applyAlignment="1">
      <alignment horizontal="left" vertical="top"/>
    </xf>
    <xf numFmtId="0" fontId="0" fillId="0" borderId="8" xfId="0" applyBorder="1" applyAlignment="1">
      <alignment horizontal="left" vertical="top"/>
    </xf>
    <xf numFmtId="0" fontId="0" fillId="0" borderId="28" xfId="0" applyBorder="1" applyAlignment="1">
      <alignment horizontal="left" vertical="top" wrapText="1"/>
    </xf>
    <xf numFmtId="4" fontId="0" fillId="0" borderId="9" xfId="0" applyNumberFormat="1" applyBorder="1" applyAlignment="1">
      <alignment horizontal="left" vertical="top"/>
    </xf>
    <xf numFmtId="0" fontId="12" fillId="5" borderId="25" xfId="5" applyFont="1" applyFill="1" applyBorder="1" applyAlignment="1">
      <alignment horizontal="left" vertical="top"/>
    </xf>
    <xf numFmtId="171" fontId="0" fillId="3" borderId="46" xfId="0" applyNumberFormat="1" applyFill="1" applyBorder="1" applyAlignment="1" applyProtection="1">
      <alignment horizontal="left" vertical="top" wrapText="1"/>
      <protection locked="0"/>
    </xf>
    <xf numFmtId="0" fontId="0" fillId="0" borderId="46" xfId="0" applyBorder="1" applyAlignment="1">
      <alignment horizontal="left" vertical="top" wrapText="1"/>
    </xf>
    <xf numFmtId="171" fontId="0" fillId="0" borderId="2" xfId="0" quotePrefix="1" applyNumberFormat="1" applyBorder="1" applyAlignment="1">
      <alignment horizontal="left" vertical="top" wrapText="1"/>
    </xf>
    <xf numFmtId="171" fontId="0" fillId="0" borderId="44" xfId="0" quotePrefix="1" applyNumberFormat="1" applyBorder="1" applyAlignment="1">
      <alignment horizontal="left" vertical="top" wrapText="1"/>
    </xf>
    <xf numFmtId="171" fontId="0" fillId="0" borderId="44" xfId="0" applyNumberFormat="1" applyBorder="1" applyAlignment="1">
      <alignment horizontal="left" vertical="top" wrapText="1"/>
    </xf>
    <xf numFmtId="0" fontId="13" fillId="0" borderId="61" xfId="0" applyFont="1" applyBorder="1" applyAlignment="1">
      <alignment horizontal="left" vertical="top" wrapText="1"/>
    </xf>
    <xf numFmtId="0" fontId="13" fillId="0" borderId="75" xfId="0" applyFont="1" applyBorder="1" applyAlignment="1">
      <alignment horizontal="left" vertical="top" wrapText="1"/>
    </xf>
    <xf numFmtId="0" fontId="16" fillId="0" borderId="28" xfId="0" applyFont="1" applyBorder="1" applyAlignment="1">
      <alignment horizontal="left" vertical="top"/>
    </xf>
    <xf numFmtId="0" fontId="9" fillId="0" borderId="26" xfId="0" applyFont="1" applyBorder="1" applyAlignment="1">
      <alignment horizontal="left" vertical="top"/>
    </xf>
    <xf numFmtId="0" fontId="0" fillId="0" borderId="17" xfId="0" applyBorder="1" applyAlignment="1">
      <alignment horizontal="left" vertical="top"/>
    </xf>
    <xf numFmtId="0" fontId="0" fillId="0" borderId="20" xfId="0" applyBorder="1" applyAlignment="1">
      <alignment horizontal="left" vertical="top"/>
    </xf>
    <xf numFmtId="3" fontId="13" fillId="3" borderId="40" xfId="5" applyNumberFormat="1" applyFont="1" applyFill="1" applyBorder="1" applyAlignment="1" applyProtection="1">
      <alignment horizontal="left" vertical="top"/>
      <protection locked="0"/>
    </xf>
    <xf numFmtId="0" fontId="0" fillId="0" borderId="19" xfId="0" applyBorder="1" applyAlignment="1">
      <alignment horizontal="left" vertical="top"/>
    </xf>
    <xf numFmtId="3" fontId="13" fillId="3" borderId="9" xfId="5" applyNumberFormat="1" applyFont="1" applyFill="1" applyBorder="1" applyAlignment="1" applyProtection="1">
      <alignment horizontal="left" vertical="top"/>
      <protection locked="0"/>
    </xf>
    <xf numFmtId="0" fontId="9" fillId="4" borderId="26" xfId="0" applyFont="1" applyFill="1" applyBorder="1" applyAlignment="1">
      <alignment horizontal="left" vertical="top"/>
    </xf>
    <xf numFmtId="0" fontId="0" fillId="0" borderId="66" xfId="0" applyBorder="1" applyAlignment="1">
      <alignment horizontal="left" vertical="top" wrapText="1"/>
    </xf>
    <xf numFmtId="0" fontId="0" fillId="0" borderId="78" xfId="0" applyBorder="1" applyAlignment="1">
      <alignment horizontal="left" vertical="top" wrapText="1"/>
    </xf>
    <xf numFmtId="0" fontId="28" fillId="0" borderId="56" xfId="0" applyFont="1" applyBorder="1" applyAlignment="1">
      <alignment horizontal="left" vertical="top" wrapText="1"/>
    </xf>
    <xf numFmtId="0" fontId="0" fillId="0" borderId="0" xfId="0" applyAlignment="1">
      <alignment horizontal="left" vertical="top" wrapText="1" indent="3"/>
    </xf>
    <xf numFmtId="0" fontId="0" fillId="0" borderId="79" xfId="0" applyBorder="1" applyAlignment="1">
      <alignment horizontal="left" vertical="top" wrapText="1" indent="3"/>
    </xf>
    <xf numFmtId="0" fontId="9" fillId="0" borderId="78" xfId="0" applyFont="1" applyBorder="1" applyAlignment="1">
      <alignment horizontal="left" vertical="top" wrapText="1"/>
    </xf>
    <xf numFmtId="0" fontId="9" fillId="0" borderId="66" xfId="0" applyFont="1" applyBorder="1" applyAlignment="1">
      <alignment horizontal="left" vertical="top" wrapText="1"/>
    </xf>
    <xf numFmtId="0" fontId="0" fillId="0" borderId="0" xfId="0" applyAlignment="1">
      <alignment horizontal="left" vertical="top" wrapText="1" indent="2"/>
    </xf>
    <xf numFmtId="0" fontId="0" fillId="0" borderId="79" xfId="0" applyBorder="1" applyAlignment="1">
      <alignment horizontal="left" vertical="top" wrapText="1" indent="2"/>
    </xf>
    <xf numFmtId="0" fontId="0" fillId="0" borderId="81" xfId="0" applyBorder="1" applyAlignment="1">
      <alignment horizontal="left" vertical="top" wrapText="1" indent="2"/>
    </xf>
    <xf numFmtId="0" fontId="3" fillId="0" borderId="0" xfId="0" quotePrefix="1" applyFont="1"/>
    <xf numFmtId="0" fontId="16" fillId="0" borderId="65" xfId="0" quotePrefix="1" applyFont="1" applyBorder="1" applyAlignment="1">
      <alignment horizontal="left" vertical="top"/>
    </xf>
    <xf numFmtId="0" fontId="28" fillId="0" borderId="0" xfId="0" quotePrefix="1" applyFont="1" applyAlignment="1">
      <alignment horizontal="left" vertical="top"/>
    </xf>
    <xf numFmtId="0" fontId="0" fillId="4" borderId="24" xfId="0" quotePrefix="1" applyFill="1" applyBorder="1" applyAlignment="1">
      <alignment horizontal="left" vertical="top" wrapText="1"/>
    </xf>
    <xf numFmtId="0" fontId="29" fillId="0" borderId="0" xfId="0" quotePrefix="1" applyFont="1" applyAlignment="1">
      <alignment horizontal="left" vertical="top"/>
    </xf>
    <xf numFmtId="0" fontId="28" fillId="0" borderId="65" xfId="0" quotePrefix="1" applyFont="1" applyBorder="1" applyAlignment="1">
      <alignment horizontal="left" vertical="top"/>
    </xf>
    <xf numFmtId="0" fontId="16" fillId="0" borderId="0" xfId="0" quotePrefix="1" applyFont="1" applyAlignment="1">
      <alignment horizontal="left" vertical="top"/>
    </xf>
    <xf numFmtId="0" fontId="16" fillId="0" borderId="28" xfId="0" quotePrefix="1" applyFont="1" applyBorder="1" applyAlignment="1">
      <alignment horizontal="left" vertical="top"/>
    </xf>
    <xf numFmtId="0" fontId="15" fillId="3" borderId="74" xfId="11" quotePrefix="1" applyFill="1" applyBorder="1" applyProtection="1">
      <protection locked="0"/>
    </xf>
    <xf numFmtId="0" fontId="15" fillId="3" borderId="73" xfId="11" quotePrefix="1" applyFill="1" applyBorder="1" applyAlignment="1" applyProtection="1">
      <alignment vertical="top"/>
      <protection locked="0"/>
    </xf>
    <xf numFmtId="0" fontId="2" fillId="0" borderId="48" xfId="11" applyFont="1" applyBorder="1" applyAlignment="1">
      <alignment horizontal="left" vertical="top" wrapText="1"/>
    </xf>
    <xf numFmtId="0" fontId="2" fillId="0" borderId="46" xfId="11" applyFont="1" applyBorder="1" applyAlignment="1">
      <alignment horizontal="left" vertical="top" wrapText="1"/>
    </xf>
    <xf numFmtId="0" fontId="0" fillId="0" borderId="46" xfId="11" applyFont="1" applyBorder="1" applyAlignment="1">
      <alignment horizontal="left" vertical="top" wrapText="1"/>
    </xf>
    <xf numFmtId="0" fontId="0" fillId="0" borderId="31" xfId="11" applyFont="1" applyBorder="1" applyAlignment="1">
      <alignment horizontal="left" vertical="top" wrapText="1"/>
    </xf>
    <xf numFmtId="0" fontId="9" fillId="0" borderId="53" xfId="11" applyFont="1" applyBorder="1" applyAlignment="1">
      <alignment horizontal="left" vertical="top"/>
    </xf>
    <xf numFmtId="0" fontId="9" fillId="0" borderId="5" xfId="11" applyFont="1" applyBorder="1" applyAlignment="1">
      <alignment horizontal="left" vertical="top"/>
    </xf>
    <xf numFmtId="0" fontId="9" fillId="0" borderId="54" xfId="11" applyFont="1" applyBorder="1" applyAlignment="1">
      <alignment horizontal="left" vertical="top"/>
    </xf>
    <xf numFmtId="0" fontId="0" fillId="3" borderId="40" xfId="11" applyFont="1" applyFill="1" applyBorder="1" applyAlignment="1" applyProtection="1">
      <alignment horizontal="left" vertical="top"/>
      <protection locked="0"/>
    </xf>
    <xf numFmtId="0" fontId="0" fillId="3" borderId="74" xfId="11" applyFont="1" applyFill="1" applyBorder="1" applyAlignment="1" applyProtection="1">
      <alignment horizontal="left" vertical="top"/>
      <protection locked="0"/>
    </xf>
    <xf numFmtId="0" fontId="0" fillId="3" borderId="73" xfId="11" applyFont="1" applyFill="1" applyBorder="1" applyAlignment="1" applyProtection="1">
      <alignment horizontal="left" vertical="top"/>
      <protection locked="0"/>
    </xf>
    <xf numFmtId="0" fontId="0" fillId="3" borderId="20" xfId="11" applyFont="1" applyFill="1" applyBorder="1" applyAlignment="1" applyProtection="1">
      <alignment horizontal="left" vertical="top"/>
      <protection locked="0"/>
    </xf>
    <xf numFmtId="1" fontId="0" fillId="3" borderId="31" xfId="11" applyNumberFormat="1" applyFont="1" applyFill="1" applyBorder="1" applyAlignment="1" applyProtection="1">
      <alignment horizontal="left" vertical="top" wrapText="1"/>
      <protection locked="0"/>
    </xf>
    <xf numFmtId="0" fontId="0" fillId="0" borderId="15" xfId="0" applyBorder="1" applyAlignment="1">
      <alignment horizontal="left" vertical="top"/>
    </xf>
    <xf numFmtId="0" fontId="0" fillId="0" borderId="11" xfId="0" applyBorder="1" applyAlignment="1">
      <alignment horizontal="left" vertical="top"/>
    </xf>
    <xf numFmtId="0" fontId="9" fillId="4" borderId="48" xfId="0" applyFont="1" applyFill="1" applyBorder="1" applyAlignment="1">
      <alignment horizontal="left" vertical="top"/>
    </xf>
    <xf numFmtId="0" fontId="0" fillId="0" borderId="35" xfId="0" applyBorder="1" applyAlignment="1">
      <alignment horizontal="left" vertical="top"/>
    </xf>
    <xf numFmtId="4" fontId="0" fillId="0" borderId="44" xfId="0" applyNumberFormat="1" applyBorder="1" applyAlignment="1">
      <alignment horizontal="left" vertical="top"/>
    </xf>
    <xf numFmtId="0" fontId="0" fillId="0" borderId="44" xfId="0" applyBorder="1" applyAlignment="1">
      <alignment horizontal="left" vertical="top"/>
    </xf>
    <xf numFmtId="0" fontId="0" fillId="0" borderId="36" xfId="0" applyBorder="1" applyAlignment="1">
      <alignment horizontal="left" vertical="top"/>
    </xf>
    <xf numFmtId="165" fontId="13" fillId="4" borderId="44" xfId="0" applyNumberFormat="1" applyFont="1" applyFill="1" applyBorder="1" applyAlignment="1">
      <alignment horizontal="left" vertical="top"/>
    </xf>
    <xf numFmtId="0" fontId="0" fillId="0" borderId="20" xfId="0" applyBorder="1" applyAlignment="1">
      <alignment horizontal="left" vertical="center"/>
    </xf>
    <xf numFmtId="0" fontId="9" fillId="0" borderId="20" xfId="0" applyFont="1" applyBorder="1" applyAlignment="1">
      <alignment horizontal="left" vertical="top"/>
    </xf>
    <xf numFmtId="0" fontId="0" fillId="0" borderId="20" xfId="0" applyBorder="1"/>
    <xf numFmtId="0" fontId="13" fillId="0" borderId="17" xfId="0" applyFont="1" applyBorder="1" applyAlignment="1">
      <alignment horizontal="left" vertical="top"/>
    </xf>
    <xf numFmtId="0" fontId="0" fillId="0" borderId="68" xfId="0" applyBorder="1" applyAlignment="1">
      <alignment horizontal="left" vertical="center"/>
    </xf>
    <xf numFmtId="0" fontId="0" fillId="0" borderId="76" xfId="0" applyBorder="1" applyAlignment="1">
      <alignment horizontal="left" vertical="center"/>
    </xf>
    <xf numFmtId="0" fontId="0" fillId="0" borderId="19" xfId="0" applyBorder="1" applyAlignment="1">
      <alignment horizontal="left" vertical="center"/>
    </xf>
    <xf numFmtId="0" fontId="0" fillId="0" borderId="68" xfId="0" applyBorder="1"/>
    <xf numFmtId="0" fontId="0" fillId="0" borderId="76" xfId="0" applyBorder="1"/>
    <xf numFmtId="0" fontId="0" fillId="0" borderId="19" xfId="0" applyBorder="1"/>
    <xf numFmtId="0" fontId="9" fillId="4" borderId="17" xfId="0" applyFont="1" applyFill="1" applyBorder="1" applyAlignment="1">
      <alignment horizontal="left" vertical="top"/>
    </xf>
    <xf numFmtId="0" fontId="9" fillId="4" borderId="21" xfId="0" applyFont="1" applyFill="1" applyBorder="1" applyAlignment="1">
      <alignment horizontal="left" vertical="top"/>
    </xf>
    <xf numFmtId="0" fontId="9" fillId="4" borderId="77" xfId="0" applyFont="1" applyFill="1" applyBorder="1" applyAlignment="1">
      <alignment horizontal="left" vertical="top"/>
    </xf>
    <xf numFmtId="0" fontId="20" fillId="3" borderId="11" xfId="20" applyBorder="1">
      <alignment horizontal="left" vertical="top" wrapText="1"/>
      <protection locked="0"/>
    </xf>
    <xf numFmtId="0" fontId="13" fillId="0" borderId="11" xfId="20" applyFont="1" applyFill="1" applyBorder="1">
      <alignment horizontal="left" vertical="top" wrapText="1"/>
      <protection locked="0"/>
    </xf>
    <xf numFmtId="0" fontId="23" fillId="0" borderId="31" xfId="19" applyBorder="1">
      <alignment horizontal="left" vertical="top" wrapText="1"/>
    </xf>
    <xf numFmtId="0" fontId="13" fillId="0" borderId="36" xfId="20" applyFont="1" applyFill="1" applyBorder="1">
      <alignment horizontal="left" vertical="top" wrapText="1"/>
      <protection locked="0"/>
    </xf>
    <xf numFmtId="0" fontId="12" fillId="5" borderId="73" xfId="0" applyFont="1" applyFill="1" applyBorder="1" applyAlignment="1">
      <alignment horizontal="left" vertical="top"/>
    </xf>
    <xf numFmtId="0" fontId="13" fillId="4" borderId="0" xfId="5" quotePrefix="1" applyFont="1" applyFill="1" applyAlignment="1">
      <alignment horizontal="left" vertical="top" wrapText="1"/>
    </xf>
    <xf numFmtId="0" fontId="13" fillId="4" borderId="0" xfId="5" applyFont="1" applyFill="1" applyAlignment="1">
      <alignment horizontal="left" vertical="top" wrapText="1"/>
    </xf>
    <xf numFmtId="0" fontId="0" fillId="4" borderId="25" xfId="0" applyFill="1" applyBorder="1" applyAlignment="1">
      <alignment horizontal="left" vertical="top"/>
    </xf>
    <xf numFmtId="0" fontId="9" fillId="4" borderId="20" xfId="0" applyFont="1" applyFill="1" applyBorder="1" applyAlignment="1">
      <alignment horizontal="left" vertical="top"/>
    </xf>
    <xf numFmtId="0" fontId="0" fillId="4" borderId="19" xfId="0" applyFill="1" applyBorder="1" applyAlignment="1">
      <alignment horizontal="left" vertical="top"/>
    </xf>
    <xf numFmtId="0" fontId="29" fillId="0" borderId="66" xfId="0" quotePrefix="1" applyFont="1" applyBorder="1" applyAlignment="1">
      <alignment horizontal="left" vertical="top"/>
    </xf>
    <xf numFmtId="0" fontId="2" fillId="0" borderId="8" xfId="11" applyFont="1" applyBorder="1" applyAlignment="1">
      <alignment horizontal="left" vertical="top" wrapText="1"/>
    </xf>
    <xf numFmtId="0" fontId="2" fillId="4" borderId="29" xfId="11" applyFont="1" applyFill="1" applyBorder="1" applyAlignment="1">
      <alignment horizontal="left" vertical="top" wrapText="1"/>
    </xf>
    <xf numFmtId="0" fontId="2" fillId="4" borderId="29" xfId="11" applyFont="1" applyFill="1" applyBorder="1" applyAlignment="1">
      <alignment horizontal="left" vertical="top"/>
    </xf>
    <xf numFmtId="0" fontId="2" fillId="0" borderId="3" xfId="0" applyFont="1" applyBorder="1" applyAlignment="1">
      <alignment horizontal="left" vertical="top"/>
    </xf>
    <xf numFmtId="0" fontId="2" fillId="0" borderId="0" xfId="11" applyFont="1"/>
    <xf numFmtId="0" fontId="2" fillId="4" borderId="3" xfId="11" applyFont="1" applyFill="1" applyBorder="1" applyAlignment="1">
      <alignment horizontal="left" vertical="top" wrapText="1"/>
    </xf>
    <xf numFmtId="0" fontId="2" fillId="3" borderId="74" xfId="11" applyFont="1" applyFill="1" applyBorder="1" applyAlignment="1" applyProtection="1">
      <alignment horizontal="left" vertical="top"/>
      <protection locked="0"/>
    </xf>
    <xf numFmtId="0" fontId="2" fillId="4" borderId="12" xfId="11" applyFont="1" applyFill="1" applyBorder="1" applyAlignment="1">
      <alignment horizontal="left" vertical="top" wrapText="1"/>
    </xf>
    <xf numFmtId="0" fontId="2" fillId="4" borderId="12" xfId="11" applyFont="1" applyFill="1" applyBorder="1" applyAlignment="1">
      <alignment horizontal="left" vertical="top"/>
    </xf>
    <xf numFmtId="0" fontId="2" fillId="4" borderId="37" xfId="11" applyFont="1" applyFill="1" applyBorder="1" applyAlignment="1">
      <alignment horizontal="left" vertical="top"/>
    </xf>
    <xf numFmtId="0" fontId="2" fillId="3" borderId="20" xfId="11" applyFont="1" applyFill="1" applyBorder="1" applyAlignment="1" applyProtection="1">
      <alignment horizontal="left" vertical="top"/>
      <protection locked="0"/>
    </xf>
    <xf numFmtId="0" fontId="2" fillId="4" borderId="3" xfId="11" applyFont="1" applyFill="1" applyBorder="1" applyAlignment="1">
      <alignment horizontal="left" vertical="top"/>
    </xf>
    <xf numFmtId="0" fontId="2" fillId="4" borderId="38" xfId="11" applyFont="1" applyFill="1" applyBorder="1" applyAlignment="1">
      <alignment horizontal="left" vertical="top" wrapText="1"/>
    </xf>
    <xf numFmtId="0" fontId="2" fillId="3" borderId="40" xfId="11" applyFont="1" applyFill="1" applyBorder="1" applyAlignment="1" applyProtection="1">
      <alignment horizontal="left" vertical="top" wrapText="1"/>
      <protection locked="0"/>
    </xf>
    <xf numFmtId="0" fontId="2" fillId="4" borderId="8" xfId="11" applyFont="1" applyFill="1" applyBorder="1" applyAlignment="1">
      <alignment horizontal="left" vertical="top"/>
    </xf>
    <xf numFmtId="166" fontId="2" fillId="3" borderId="40" xfId="11" applyNumberFormat="1" applyFont="1" applyFill="1" applyBorder="1" applyAlignment="1" applyProtection="1">
      <alignment horizontal="left" vertical="top" wrapText="1"/>
      <protection locked="0"/>
    </xf>
    <xf numFmtId="0" fontId="2" fillId="3" borderId="68" xfId="11" applyFont="1" applyFill="1" applyBorder="1" applyAlignment="1" applyProtection="1">
      <alignment horizontal="left" vertical="top"/>
      <protection locked="0"/>
    </xf>
    <xf numFmtId="0" fontId="2" fillId="4" borderId="34" xfId="11" applyFont="1" applyFill="1" applyBorder="1" applyAlignment="1">
      <alignment horizontal="left" vertical="top" wrapText="1"/>
    </xf>
    <xf numFmtId="0" fontId="2" fillId="3" borderId="36" xfId="11" applyFont="1" applyFill="1" applyBorder="1" applyAlignment="1" applyProtection="1">
      <alignment horizontal="left" vertical="top"/>
      <protection locked="0"/>
    </xf>
    <xf numFmtId="0" fontId="2" fillId="4" borderId="34" xfId="11" applyFont="1" applyFill="1" applyBorder="1" applyAlignment="1">
      <alignment horizontal="left" vertical="top"/>
    </xf>
    <xf numFmtId="0" fontId="2" fillId="3" borderId="62" xfId="11" applyFont="1" applyFill="1" applyBorder="1" applyAlignment="1" applyProtection="1">
      <alignment horizontal="left" vertical="top"/>
      <protection locked="0"/>
    </xf>
    <xf numFmtId="0" fontId="2" fillId="0" borderId="0" xfId="0" applyFont="1" applyAlignment="1">
      <alignment horizontal="left" vertical="center"/>
    </xf>
    <xf numFmtId="0" fontId="2" fillId="0" borderId="26" xfId="0" applyFont="1" applyBorder="1" applyAlignment="1">
      <alignment horizontal="left" vertical="top"/>
    </xf>
    <xf numFmtId="0" fontId="2" fillId="0" borderId="0" xfId="0" applyFont="1" applyAlignment="1">
      <alignment horizontal="left" vertical="top"/>
    </xf>
    <xf numFmtId="0" fontId="2" fillId="0" borderId="20" xfId="0" applyFont="1" applyBorder="1" applyAlignment="1">
      <alignment horizontal="left" vertical="top"/>
    </xf>
    <xf numFmtId="0" fontId="2" fillId="3" borderId="2" xfId="0" applyFont="1" applyFill="1" applyBorder="1" applyAlignment="1" applyProtection="1">
      <alignment horizontal="left" vertical="top"/>
      <protection locked="0"/>
    </xf>
    <xf numFmtId="0" fontId="2" fillId="0" borderId="2" xfId="0" applyFont="1" applyBorder="1" applyAlignment="1">
      <alignment horizontal="left" vertical="top"/>
    </xf>
    <xf numFmtId="0" fontId="2" fillId="0" borderId="11" xfId="0" applyFont="1" applyBorder="1" applyAlignment="1">
      <alignment horizontal="left" vertical="top"/>
    </xf>
    <xf numFmtId="0" fontId="2" fillId="0" borderId="68" xfId="0" applyFont="1" applyBorder="1" applyAlignment="1">
      <alignment horizontal="left" vertical="center"/>
    </xf>
    <xf numFmtId="0" fontId="2" fillId="0" borderId="20" xfId="0" applyFont="1" applyBorder="1" applyAlignment="1">
      <alignment horizontal="left" vertical="center"/>
    </xf>
    <xf numFmtId="3" fontId="2" fillId="3" borderId="2" xfId="0" applyNumberFormat="1" applyFont="1" applyFill="1" applyBorder="1" applyAlignment="1" applyProtection="1">
      <alignment horizontal="left" vertical="top"/>
      <protection locked="0"/>
    </xf>
    <xf numFmtId="0" fontId="2" fillId="0" borderId="0" xfId="0" applyFont="1" applyAlignment="1">
      <alignment horizontal="left" vertical="center" wrapText="1"/>
    </xf>
    <xf numFmtId="0" fontId="2" fillId="0" borderId="3" xfId="0" applyFont="1" applyBorder="1" applyAlignment="1">
      <alignment horizontal="left" vertical="top" wrapText="1"/>
    </xf>
    <xf numFmtId="0" fontId="2" fillId="0" borderId="9" xfId="0" applyFont="1" applyBorder="1" applyAlignment="1">
      <alignment horizontal="left" vertical="top"/>
    </xf>
    <xf numFmtId="0" fontId="2" fillId="0" borderId="40" xfId="0" applyFont="1" applyBorder="1" applyAlignment="1">
      <alignment horizontal="left" vertical="top"/>
    </xf>
    <xf numFmtId="0" fontId="2" fillId="0" borderId="76" xfId="0" applyFont="1" applyBorder="1" applyAlignment="1">
      <alignment horizontal="left" vertical="center"/>
    </xf>
    <xf numFmtId="0" fontId="2" fillId="0" borderId="19" xfId="0" applyFont="1" applyBorder="1" applyAlignment="1">
      <alignment horizontal="left" vertical="center"/>
    </xf>
    <xf numFmtId="0" fontId="2" fillId="0" borderId="0" xfId="0" quotePrefix="1" applyFont="1" applyAlignment="1">
      <alignment horizontal="left" vertical="top"/>
    </xf>
    <xf numFmtId="164" fontId="2" fillId="3" borderId="2" xfId="0" applyNumberFormat="1" applyFont="1" applyFill="1" applyBorder="1" applyAlignment="1" applyProtection="1">
      <alignment horizontal="left" vertical="top"/>
      <protection locked="0"/>
    </xf>
    <xf numFmtId="0" fontId="2" fillId="0" borderId="15" xfId="0" applyFont="1" applyBorder="1" applyAlignment="1">
      <alignment horizontal="left" vertical="top"/>
    </xf>
    <xf numFmtId="169" fontId="2" fillId="0" borderId="2" xfId="0" applyNumberFormat="1" applyFont="1" applyBorder="1" applyAlignment="1">
      <alignment horizontal="left" vertical="top"/>
    </xf>
    <xf numFmtId="2" fontId="2" fillId="0" borderId="2" xfId="0" applyNumberFormat="1" applyFont="1" applyBorder="1" applyAlignment="1">
      <alignment horizontal="left" vertical="top"/>
    </xf>
    <xf numFmtId="168" fontId="2" fillId="0" borderId="2" xfId="0" applyNumberFormat="1" applyFont="1" applyBorder="1" applyAlignment="1">
      <alignment horizontal="left" vertical="top"/>
    </xf>
    <xf numFmtId="164" fontId="2" fillId="0" borderId="2" xfId="0" applyNumberFormat="1" applyFont="1" applyBorder="1" applyAlignment="1">
      <alignment horizontal="left" vertical="top"/>
    </xf>
    <xf numFmtId="0" fontId="2" fillId="0" borderId="35" xfId="0" applyFont="1" applyBorder="1" applyAlignment="1">
      <alignment horizontal="left" vertical="top"/>
    </xf>
    <xf numFmtId="168" fontId="2" fillId="0" borderId="44" xfId="0" applyNumberFormat="1" applyFont="1" applyBorder="1" applyAlignment="1">
      <alignment horizontal="left" vertical="top"/>
    </xf>
    <xf numFmtId="0" fontId="2" fillId="0" borderId="36" xfId="0" applyFont="1" applyBorder="1" applyAlignment="1">
      <alignment horizontal="left" vertical="top"/>
    </xf>
    <xf numFmtId="0" fontId="2" fillId="4" borderId="24" xfId="0" applyFont="1" applyFill="1" applyBorder="1" applyAlignment="1">
      <alignment horizontal="left" vertical="top"/>
    </xf>
    <xf numFmtId="0" fontId="2" fillId="4" borderId="28" xfId="0" applyFont="1" applyFill="1" applyBorder="1" applyAlignment="1">
      <alignment horizontal="left" vertical="top"/>
    </xf>
    <xf numFmtId="0" fontId="2" fillId="4" borderId="0" xfId="0" applyFont="1" applyFill="1" applyAlignment="1">
      <alignment horizontal="left" vertical="top"/>
    </xf>
    <xf numFmtId="0" fontId="2" fillId="0" borderId="66" xfId="0" applyFont="1" applyBorder="1" applyAlignment="1">
      <alignment horizontal="left" vertical="top"/>
    </xf>
    <xf numFmtId="0" fontId="2" fillId="0" borderId="19" xfId="0" applyFont="1" applyBorder="1" applyAlignment="1">
      <alignment horizontal="left" vertical="top"/>
    </xf>
    <xf numFmtId="0" fontId="2" fillId="3" borderId="46" xfId="0" applyFont="1" applyFill="1" applyBorder="1" applyAlignment="1" applyProtection="1">
      <alignment horizontal="left" vertical="top"/>
      <protection locked="0"/>
    </xf>
    <xf numFmtId="172" fontId="2" fillId="3" borderId="2" xfId="0" applyNumberFormat="1" applyFont="1" applyFill="1" applyBorder="1" applyAlignment="1" applyProtection="1">
      <alignment horizontal="left" vertical="top"/>
      <protection locked="0"/>
    </xf>
    <xf numFmtId="172" fontId="2" fillId="3" borderId="36" xfId="0" applyNumberFormat="1" applyFont="1" applyFill="1" applyBorder="1" applyAlignment="1" applyProtection="1">
      <alignment horizontal="left" vertical="top"/>
      <protection locked="0"/>
    </xf>
    <xf numFmtId="171" fontId="2" fillId="3" borderId="2" xfId="0" applyNumberFormat="1" applyFont="1" applyFill="1" applyBorder="1" applyAlignment="1" applyProtection="1">
      <alignment horizontal="left" vertical="top"/>
      <protection locked="0"/>
    </xf>
    <xf numFmtId="171" fontId="2" fillId="3" borderId="36" xfId="0" applyNumberFormat="1" applyFont="1" applyFill="1" applyBorder="1" applyAlignment="1" applyProtection="1">
      <alignment horizontal="left" vertical="top"/>
      <protection locked="0"/>
    </xf>
    <xf numFmtId="0" fontId="16" fillId="4" borderId="65" xfId="12" quotePrefix="1" applyFont="1" applyFill="1" applyBorder="1" applyAlignment="1" applyProtection="1">
      <alignment horizontal="left" vertical="top"/>
    </xf>
    <xf numFmtId="0" fontId="16" fillId="4" borderId="65" xfId="12" applyFont="1" applyFill="1" applyBorder="1" applyAlignment="1" applyProtection="1">
      <alignment horizontal="left" vertical="top"/>
    </xf>
    <xf numFmtId="0" fontId="9" fillId="4" borderId="82" xfId="11" applyFont="1" applyFill="1" applyBorder="1" applyAlignment="1">
      <alignment horizontal="left" vertical="top" wrapText="1"/>
    </xf>
    <xf numFmtId="0" fontId="2" fillId="4" borderId="83" xfId="11" applyFont="1" applyFill="1" applyBorder="1" applyAlignment="1">
      <alignment horizontal="left" vertical="top" wrapText="1"/>
    </xf>
    <xf numFmtId="0" fontId="2" fillId="4" borderId="84" xfId="11" applyFont="1" applyFill="1" applyBorder="1" applyAlignment="1">
      <alignment horizontal="left" vertical="top" wrapText="1"/>
    </xf>
    <xf numFmtId="0" fontId="2" fillId="0" borderId="86" xfId="11" applyFont="1" applyBorder="1" applyAlignment="1">
      <alignment horizontal="left" vertical="top" wrapText="1"/>
    </xf>
    <xf numFmtId="0" fontId="9" fillId="5" borderId="88" xfId="11" applyFont="1" applyFill="1" applyBorder="1" applyAlignment="1">
      <alignment horizontal="left" vertical="top" wrapText="1"/>
    </xf>
    <xf numFmtId="0" fontId="9" fillId="5" borderId="89" xfId="11" applyFont="1" applyFill="1" applyBorder="1" applyAlignment="1">
      <alignment horizontal="left" vertical="top"/>
    </xf>
    <xf numFmtId="0" fontId="9" fillId="5" borderId="90" xfId="11" applyFont="1" applyFill="1" applyBorder="1" applyAlignment="1">
      <alignment horizontal="left" vertical="top"/>
    </xf>
    <xf numFmtId="0" fontId="16" fillId="0" borderId="0" xfId="11" quotePrefix="1" applyFont="1" applyAlignment="1">
      <alignment horizontal="left" vertical="top" wrapText="1"/>
    </xf>
    <xf numFmtId="0" fontId="16" fillId="0" borderId="0" xfId="11" applyFont="1" applyAlignment="1">
      <alignment horizontal="left" vertical="top" wrapText="1"/>
    </xf>
    <xf numFmtId="0" fontId="9" fillId="4" borderId="92" xfId="11" applyFont="1" applyFill="1" applyBorder="1" applyAlignment="1">
      <alignment horizontal="left" vertical="top" wrapText="1"/>
    </xf>
    <xf numFmtId="0" fontId="0" fillId="0" borderId="91" xfId="0" applyBorder="1" applyAlignment="1">
      <alignment horizontal="left" vertical="top" wrapText="1"/>
    </xf>
    <xf numFmtId="0" fontId="2" fillId="4" borderId="93" xfId="11" applyFont="1" applyFill="1" applyBorder="1" applyAlignment="1">
      <alignment horizontal="left" vertical="top" wrapText="1"/>
    </xf>
    <xf numFmtId="0" fontId="2" fillId="4" borderId="93" xfId="11" applyFont="1" applyFill="1" applyBorder="1" applyAlignment="1">
      <alignment horizontal="left" vertical="top"/>
    </xf>
    <xf numFmtId="0" fontId="2" fillId="4" borderId="94" xfId="11" applyFont="1" applyFill="1" applyBorder="1" applyAlignment="1">
      <alignment horizontal="left" vertical="top"/>
    </xf>
    <xf numFmtId="0" fontId="9" fillId="5" borderId="88" xfId="11" applyFont="1" applyFill="1" applyBorder="1" applyAlignment="1">
      <alignment horizontal="left" vertical="top"/>
    </xf>
    <xf numFmtId="0" fontId="2" fillId="3" borderId="97" xfId="11" applyFont="1" applyFill="1" applyBorder="1" applyAlignment="1" applyProtection="1">
      <alignment horizontal="left" vertical="top" wrapText="1"/>
      <protection locked="0"/>
    </xf>
    <xf numFmtId="0" fontId="0" fillId="0" borderId="87" xfId="0" applyBorder="1" applyAlignment="1">
      <alignment horizontal="left" vertical="top" wrapText="1"/>
    </xf>
    <xf numFmtId="0" fontId="0" fillId="0" borderId="95" xfId="0" applyBorder="1" applyAlignment="1">
      <alignment horizontal="left" vertical="top" wrapText="1"/>
    </xf>
    <xf numFmtId="0" fontId="0" fillId="0" borderId="37" xfId="0" applyBorder="1" applyAlignment="1">
      <alignment horizontal="left" vertical="top" wrapText="1"/>
    </xf>
    <xf numFmtId="0" fontId="0" fillId="0" borderId="98" xfId="0" applyBorder="1" applyAlignment="1">
      <alignment horizontal="left" vertical="top" wrapText="1"/>
    </xf>
    <xf numFmtId="0" fontId="0" fillId="4" borderId="93" xfId="11" applyFont="1" applyFill="1" applyBorder="1" applyAlignment="1">
      <alignment horizontal="left" vertical="top" wrapText="1"/>
    </xf>
    <xf numFmtId="0" fontId="0" fillId="0" borderId="99" xfId="0" applyBorder="1" applyAlignment="1">
      <alignment horizontal="left" vertical="top" wrapText="1"/>
    </xf>
    <xf numFmtId="0" fontId="2" fillId="4" borderId="96" xfId="11" applyFont="1" applyFill="1" applyBorder="1" applyAlignment="1">
      <alignment horizontal="left" vertical="top" wrapText="1"/>
    </xf>
    <xf numFmtId="0" fontId="0" fillId="4" borderId="94" xfId="11" applyFont="1" applyFill="1" applyBorder="1" applyAlignment="1">
      <alignment horizontal="left" vertical="top" wrapText="1"/>
    </xf>
    <xf numFmtId="0" fontId="2" fillId="3" borderId="101" xfId="11" applyFont="1" applyFill="1" applyBorder="1" applyAlignment="1" applyProtection="1">
      <alignment horizontal="left" vertical="top" wrapText="1"/>
      <protection locked="0"/>
    </xf>
    <xf numFmtId="0" fontId="0" fillId="0" borderId="102" xfId="0" applyBorder="1" applyAlignment="1">
      <alignment horizontal="left" vertical="top" wrapText="1"/>
    </xf>
    <xf numFmtId="0" fontId="2" fillId="4" borderId="105" xfId="11" applyFont="1" applyFill="1" applyBorder="1" applyAlignment="1">
      <alignment horizontal="left" vertical="top"/>
    </xf>
    <xf numFmtId="0" fontId="0" fillId="0" borderId="106" xfId="0" applyBorder="1" applyAlignment="1">
      <alignment horizontal="left" vertical="top" wrapText="1"/>
    </xf>
    <xf numFmtId="1" fontId="0" fillId="0" borderId="0" xfId="0" applyNumberFormat="1"/>
    <xf numFmtId="0" fontId="0" fillId="0" borderId="107" xfId="0" applyBorder="1"/>
    <xf numFmtId="0" fontId="0" fillId="0" borderId="108" xfId="0" applyBorder="1"/>
    <xf numFmtId="0" fontId="0" fillId="0" borderId="109" xfId="0" applyBorder="1"/>
    <xf numFmtId="0" fontId="0" fillId="0" borderId="110" xfId="0" applyBorder="1"/>
    <xf numFmtId="0" fontId="0" fillId="0" borderId="111" xfId="0" applyBorder="1"/>
    <xf numFmtId="0" fontId="9" fillId="0" borderId="88" xfId="0" applyFont="1" applyBorder="1" applyAlignment="1">
      <alignment wrapText="1"/>
    </xf>
    <xf numFmtId="0" fontId="9" fillId="0" borderId="89" xfId="0" applyFont="1" applyBorder="1" applyAlignment="1">
      <alignment wrapText="1"/>
    </xf>
    <xf numFmtId="0" fontId="9" fillId="0" borderId="90" xfId="0" applyFont="1" applyBorder="1" applyAlignment="1">
      <alignment wrapText="1"/>
    </xf>
    <xf numFmtId="0" fontId="0" fillId="0" borderId="24" xfId="0" applyBorder="1"/>
    <xf numFmtId="0" fontId="0" fillId="0" borderId="25" xfId="0" applyBorder="1"/>
    <xf numFmtId="0" fontId="16" fillId="0" borderId="65" xfId="0" quotePrefix="1" applyFont="1" applyBorder="1" applyAlignment="1">
      <alignment horizontal="left" vertical="top" wrapText="1"/>
    </xf>
    <xf numFmtId="0" fontId="16" fillId="0" borderId="65" xfId="0" applyFont="1" applyBorder="1" applyAlignment="1">
      <alignment horizontal="left" vertical="top" wrapText="1"/>
    </xf>
    <xf numFmtId="0" fontId="16" fillId="0" borderId="0" xfId="0" applyFont="1" applyAlignment="1">
      <alignment horizontal="left" vertical="top" wrapText="1"/>
    </xf>
    <xf numFmtId="0" fontId="16" fillId="0" borderId="28" xfId="0" quotePrefix="1" applyFont="1" applyBorder="1" applyAlignment="1">
      <alignment horizontal="left" vertical="top" wrapText="1"/>
    </xf>
    <xf numFmtId="0" fontId="16" fillId="0" borderId="28" xfId="0" applyFont="1" applyBorder="1" applyAlignment="1">
      <alignment horizontal="left" vertical="top" wrapText="1"/>
    </xf>
    <xf numFmtId="0" fontId="0" fillId="0" borderId="11" xfId="0" applyBorder="1" applyAlignment="1">
      <alignment horizontal="left" vertical="top" wrapText="1"/>
    </xf>
    <xf numFmtId="0" fontId="0" fillId="0" borderId="35" xfId="0" applyBorder="1"/>
    <xf numFmtId="0" fontId="0" fillId="0" borderId="66" xfId="0" applyBorder="1"/>
    <xf numFmtId="0" fontId="13" fillId="4" borderId="74" xfId="0" applyFont="1" applyFill="1" applyBorder="1" applyAlignment="1">
      <alignment horizontal="left" vertical="top" wrapText="1"/>
    </xf>
    <xf numFmtId="0" fontId="13" fillId="4" borderId="62" xfId="0" applyFont="1" applyFill="1" applyBorder="1" applyAlignment="1">
      <alignment horizontal="left" vertical="top" wrapText="1"/>
    </xf>
    <xf numFmtId="0" fontId="0" fillId="0" borderId="15" xfId="0" applyBorder="1"/>
    <xf numFmtId="0" fontId="13" fillId="5" borderId="65" xfId="0" applyFont="1" applyFill="1" applyBorder="1" applyAlignment="1">
      <alignment horizontal="left" vertical="top"/>
    </xf>
    <xf numFmtId="0" fontId="2" fillId="0" borderId="21" xfId="0" applyFont="1" applyBorder="1" applyAlignment="1">
      <alignment horizontal="left" vertical="top" wrapText="1"/>
    </xf>
    <xf numFmtId="0" fontId="13" fillId="0" borderId="0" xfId="0" applyFont="1"/>
    <xf numFmtId="0" fontId="0" fillId="0" borderId="15" xfId="0" applyBorder="1" applyAlignment="1">
      <alignment wrapText="1"/>
    </xf>
    <xf numFmtId="0" fontId="2" fillId="3" borderId="11" xfId="0" applyFont="1" applyFill="1" applyBorder="1" applyAlignment="1" applyProtection="1">
      <alignment horizontal="left" vertical="top"/>
      <protection locked="0"/>
    </xf>
    <xf numFmtId="0" fontId="0" fillId="0" borderId="35" xfId="0" applyBorder="1" applyAlignment="1">
      <alignment wrapText="1"/>
    </xf>
    <xf numFmtId="3" fontId="13" fillId="3" borderId="36" xfId="5" applyNumberFormat="1" applyFont="1" applyFill="1" applyBorder="1" applyAlignment="1" applyProtection="1">
      <alignment horizontal="left" vertical="top"/>
      <protection locked="0"/>
    </xf>
    <xf numFmtId="0" fontId="9" fillId="5" borderId="28" xfId="11" applyFont="1" applyFill="1" applyBorder="1" applyAlignment="1">
      <alignment horizontal="left" vertical="top"/>
    </xf>
    <xf numFmtId="0" fontId="9" fillId="5" borderId="24" xfId="11" applyFont="1" applyFill="1" applyBorder="1" applyAlignment="1">
      <alignment horizontal="left" vertical="top" wrapText="1"/>
    </xf>
    <xf numFmtId="0" fontId="0" fillId="0" borderId="42" xfId="0" applyBorder="1" applyAlignment="1">
      <alignment horizontal="left" vertical="top" wrapText="1"/>
    </xf>
    <xf numFmtId="0" fontId="0" fillId="0" borderId="41" xfId="0"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0" fillId="0" borderId="26" xfId="0" applyBorder="1" applyAlignment="1">
      <alignment horizontal="left" vertical="top" wrapText="1"/>
    </xf>
    <xf numFmtId="0" fontId="0" fillId="3" borderId="27"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0" borderId="43" xfId="0" applyBorder="1" applyAlignment="1">
      <alignment horizontal="left" vertical="top" wrapText="1"/>
    </xf>
    <xf numFmtId="0" fontId="9" fillId="4" borderId="26" xfId="11" applyFont="1" applyFill="1" applyBorder="1" applyAlignment="1">
      <alignment horizontal="left" vertical="top" wrapText="1"/>
    </xf>
    <xf numFmtId="0" fontId="20" fillId="0" borderId="8" xfId="11" applyFont="1" applyBorder="1" applyAlignment="1">
      <alignment horizontal="left" vertical="top" wrapText="1"/>
    </xf>
    <xf numFmtId="0" fontId="23" fillId="4" borderId="40" xfId="11" applyFont="1" applyFill="1" applyBorder="1" applyAlignment="1">
      <alignment horizontal="left" vertical="top"/>
    </xf>
    <xf numFmtId="0" fontId="12" fillId="4" borderId="26" xfId="0" applyFont="1" applyFill="1" applyBorder="1" applyAlignment="1">
      <alignment horizontal="left" vertical="top" wrapText="1"/>
    </xf>
    <xf numFmtId="0" fontId="13" fillId="0" borderId="3" xfId="0" applyFont="1" applyBorder="1" applyAlignment="1">
      <alignment horizontal="left" vertical="top"/>
    </xf>
    <xf numFmtId="0" fontId="0" fillId="4" borderId="3" xfId="0" applyFill="1" applyBorder="1" applyAlignment="1">
      <alignment horizontal="left" vertical="top"/>
    </xf>
    <xf numFmtId="0" fontId="13" fillId="4" borderId="29" xfId="0" applyFont="1" applyFill="1" applyBorder="1" applyAlignment="1">
      <alignment horizontal="left" vertical="top"/>
    </xf>
    <xf numFmtId="0" fontId="0" fillId="4" borderId="29" xfId="0" applyFill="1" applyBorder="1" applyAlignment="1">
      <alignment horizontal="left" vertical="top"/>
    </xf>
    <xf numFmtId="0" fontId="0" fillId="4" borderId="43" xfId="0" applyFill="1" applyBorder="1" applyAlignment="1">
      <alignment horizontal="left" vertical="top"/>
    </xf>
    <xf numFmtId="0" fontId="0" fillId="4" borderId="8" xfId="0" applyFill="1" applyBorder="1" applyAlignment="1">
      <alignment horizontal="left" vertical="top"/>
    </xf>
    <xf numFmtId="171" fontId="2" fillId="3" borderId="40" xfId="0" applyNumberFormat="1" applyFont="1" applyFill="1" applyBorder="1" applyAlignment="1" applyProtection="1">
      <alignment horizontal="left" vertical="top"/>
      <protection locked="0"/>
    </xf>
    <xf numFmtId="0" fontId="0" fillId="0" borderId="56" xfId="0" applyBorder="1" applyAlignment="1">
      <alignment horizontal="left" vertical="top" wrapText="1"/>
    </xf>
    <xf numFmtId="0" fontId="0" fillId="0" borderId="64" xfId="0" applyBorder="1" applyAlignment="1">
      <alignment horizontal="left" vertical="top" wrapText="1"/>
    </xf>
    <xf numFmtId="0" fontId="9" fillId="0" borderId="70" xfId="0" applyFont="1" applyBorder="1" applyAlignment="1">
      <alignment horizontal="left" vertical="top"/>
    </xf>
    <xf numFmtId="0" fontId="9" fillId="0" borderId="4" xfId="0" applyFont="1" applyBorder="1" applyAlignment="1">
      <alignment horizontal="left" vertical="top" wrapText="1"/>
    </xf>
    <xf numFmtId="0" fontId="0" fillId="0" borderId="9" xfId="0" applyBorder="1" applyAlignment="1">
      <alignment horizontal="left" vertical="top"/>
    </xf>
    <xf numFmtId="0" fontId="2" fillId="0" borderId="0" xfId="0" applyFont="1" applyAlignment="1">
      <alignment horizontal="left" vertical="top" wrapText="1"/>
    </xf>
    <xf numFmtId="0" fontId="9" fillId="0" borderId="53" xfId="0" applyFont="1" applyBorder="1" applyAlignment="1">
      <alignment horizontal="left" vertical="top" wrapText="1"/>
    </xf>
    <xf numFmtId="0" fontId="9" fillId="0" borderId="78" xfId="0" applyFont="1" applyBorder="1" applyAlignment="1">
      <alignment horizontal="left" vertical="top"/>
    </xf>
    <xf numFmtId="0" fontId="9" fillId="0" borderId="15" xfId="0" applyFont="1" applyBorder="1" applyAlignment="1">
      <alignment horizontal="left" vertical="top"/>
    </xf>
    <xf numFmtId="0" fontId="0" fillId="0" borderId="29" xfId="0" applyBorder="1" applyAlignment="1">
      <alignment horizontal="left" vertical="top"/>
    </xf>
    <xf numFmtId="0" fontId="9" fillId="0" borderId="29" xfId="0" applyFont="1" applyBorder="1" applyAlignment="1">
      <alignment horizontal="left" vertical="top"/>
    </xf>
    <xf numFmtId="0" fontId="9" fillId="0" borderId="54" xfId="0" applyFont="1" applyBorder="1" applyAlignment="1">
      <alignment horizontal="left" vertical="top" wrapText="1"/>
    </xf>
    <xf numFmtId="0" fontId="0" fillId="0" borderId="40" xfId="0" applyBorder="1" applyAlignment="1">
      <alignment horizontal="left" vertical="top"/>
    </xf>
    <xf numFmtId="0" fontId="13" fillId="0" borderId="11" xfId="0" applyFont="1" applyBorder="1" applyAlignment="1">
      <alignment horizontal="left" vertical="top"/>
    </xf>
    <xf numFmtId="0" fontId="0" fillId="0" borderId="47" xfId="0" applyBorder="1" applyAlignment="1">
      <alignment horizontal="left" vertical="top"/>
    </xf>
    <xf numFmtId="0" fontId="0" fillId="0" borderId="48" xfId="0" applyBorder="1" applyAlignment="1">
      <alignment horizontal="left" vertical="top"/>
    </xf>
    <xf numFmtId="0" fontId="12" fillId="4" borderId="21" xfId="0" applyFont="1" applyFill="1" applyBorder="1" applyAlignment="1">
      <alignment horizontal="left" vertical="top"/>
    </xf>
    <xf numFmtId="0" fontId="9" fillId="0" borderId="0" xfId="0" applyFont="1" applyAlignment="1">
      <alignment horizontal="left" vertical="top"/>
    </xf>
    <xf numFmtId="0" fontId="12" fillId="4" borderId="48" xfId="0" applyFont="1" applyFill="1" applyBorder="1" applyAlignment="1">
      <alignment horizontal="left" vertical="top" wrapText="1"/>
    </xf>
    <xf numFmtId="0" fontId="12" fillId="4" borderId="31" xfId="0" applyFont="1" applyFill="1" applyBorder="1" applyAlignment="1">
      <alignment horizontal="left" vertical="top"/>
    </xf>
    <xf numFmtId="0" fontId="2" fillId="0" borderId="32" xfId="0" applyFont="1" applyBorder="1" applyAlignment="1">
      <alignment horizontal="left" vertical="top" wrapText="1"/>
    </xf>
    <xf numFmtId="0" fontId="13" fillId="4" borderId="37" xfId="5" applyFont="1" applyFill="1" applyBorder="1" applyAlignment="1">
      <alignment horizontal="left" vertical="top" wrapText="1"/>
    </xf>
    <xf numFmtId="0" fontId="20" fillId="4" borderId="36" xfId="5" applyFont="1" applyFill="1" applyBorder="1" applyAlignment="1">
      <alignment horizontal="left" vertical="top" wrapText="1"/>
    </xf>
    <xf numFmtId="172" fontId="13" fillId="4" borderId="36" xfId="5" applyNumberFormat="1" applyFont="1" applyFill="1" applyBorder="1" applyAlignment="1">
      <alignment horizontal="left" vertical="top" wrapText="1"/>
    </xf>
    <xf numFmtId="172" fontId="20" fillId="4" borderId="36" xfId="5" applyNumberFormat="1" applyFont="1" applyFill="1" applyBorder="1" applyAlignment="1">
      <alignment horizontal="left" vertical="top" wrapText="1"/>
    </xf>
    <xf numFmtId="172" fontId="23" fillId="4" borderId="36" xfId="5" applyNumberFormat="1" applyFont="1" applyFill="1" applyBorder="1" applyAlignment="1">
      <alignment horizontal="left" vertical="top" wrapText="1"/>
    </xf>
    <xf numFmtId="0" fontId="0" fillId="4" borderId="37" xfId="0" applyFill="1" applyBorder="1" applyAlignment="1">
      <alignment horizontal="left" vertical="top"/>
    </xf>
    <xf numFmtId="0" fontId="0" fillId="0" borderId="88" xfId="0" applyBorder="1" applyAlignment="1">
      <alignment horizontal="left" vertical="top" wrapText="1"/>
    </xf>
    <xf numFmtId="0" fontId="0" fillId="0" borderId="114" xfId="0" applyBorder="1" applyAlignment="1">
      <alignment horizontal="left" vertical="top" wrapText="1"/>
    </xf>
    <xf numFmtId="0" fontId="0" fillId="0" borderId="86" xfId="0" applyBorder="1" applyAlignment="1">
      <alignment horizontal="left" vertical="top" wrapText="1"/>
    </xf>
    <xf numFmtId="0" fontId="0" fillId="0" borderId="93" xfId="0" applyBorder="1" applyAlignment="1">
      <alignment horizontal="left" vertical="top" wrapText="1"/>
    </xf>
    <xf numFmtId="0" fontId="0" fillId="0" borderId="96" xfId="0" applyBorder="1" applyAlignment="1">
      <alignment horizontal="left" vertical="top" wrapText="1"/>
    </xf>
    <xf numFmtId="0" fontId="0" fillId="0" borderId="115" xfId="0" applyBorder="1" applyAlignment="1">
      <alignment horizontal="left" vertical="top" wrapText="1"/>
    </xf>
    <xf numFmtId="0" fontId="0" fillId="0" borderId="116" xfId="0" applyBorder="1" applyAlignment="1">
      <alignment horizontal="left" vertical="top" wrapText="1"/>
    </xf>
    <xf numFmtId="0" fontId="0" fillId="0" borderId="117" xfId="0" applyBorder="1" applyAlignment="1">
      <alignment horizontal="left" vertical="top" wrapText="1"/>
    </xf>
    <xf numFmtId="0" fontId="28" fillId="0" borderId="0" xfId="0" applyFont="1" applyAlignment="1">
      <alignment horizontal="left" vertical="top" wrapText="1"/>
    </xf>
    <xf numFmtId="0" fontId="0" fillId="0" borderId="12" xfId="0" applyBorder="1" applyAlignment="1">
      <alignment horizontal="left" vertical="top"/>
    </xf>
    <xf numFmtId="0" fontId="0" fillId="4" borderId="85" xfId="0" applyFill="1" applyBorder="1" applyAlignment="1">
      <alignment horizontal="left" vertical="top"/>
    </xf>
    <xf numFmtId="0" fontId="12" fillId="5" borderId="88" xfId="5" applyFont="1" applyFill="1" applyBorder="1" applyAlignment="1">
      <alignment horizontal="left" vertical="top"/>
    </xf>
    <xf numFmtId="0" fontId="12" fillId="5" borderId="89" xfId="5" applyFont="1" applyFill="1" applyBorder="1" applyAlignment="1">
      <alignment horizontal="left" vertical="top"/>
    </xf>
    <xf numFmtId="0" fontId="2" fillId="3" borderId="121" xfId="0" applyFont="1" applyFill="1" applyBorder="1" applyAlignment="1" applyProtection="1">
      <alignment horizontal="left" vertical="center"/>
      <protection locked="0"/>
    </xf>
    <xf numFmtId="0" fontId="2" fillId="3" borderId="122" xfId="0" applyFont="1" applyFill="1" applyBorder="1" applyAlignment="1" applyProtection="1">
      <alignment horizontal="left" vertical="center"/>
      <protection locked="0"/>
    </xf>
    <xf numFmtId="0" fontId="20" fillId="3" borderId="122" xfId="0" applyFont="1" applyFill="1" applyBorder="1" applyAlignment="1" applyProtection="1">
      <alignment horizontal="left" vertical="center"/>
      <protection locked="0"/>
    </xf>
    <xf numFmtId="0" fontId="0" fillId="3" borderId="122" xfId="0" applyFill="1" applyBorder="1" applyAlignment="1" applyProtection="1">
      <alignment horizontal="left" vertical="center"/>
      <protection locked="0"/>
    </xf>
    <xf numFmtId="0" fontId="12" fillId="4" borderId="65" xfId="5" applyFont="1" applyFill="1" applyBorder="1" applyAlignment="1">
      <alignment horizontal="left" vertical="top" wrapText="1"/>
    </xf>
    <xf numFmtId="0" fontId="12" fillId="4" borderId="0" xfId="5" applyFont="1" applyFill="1" applyAlignment="1">
      <alignment horizontal="left" vertical="top" wrapText="1"/>
    </xf>
    <xf numFmtId="172" fontId="13" fillId="4" borderId="0" xfId="5" applyNumberFormat="1" applyFont="1" applyFill="1" applyAlignment="1">
      <alignment horizontal="left" vertical="top" wrapText="1"/>
    </xf>
    <xf numFmtId="172" fontId="13" fillId="4" borderId="66" xfId="5" applyNumberFormat="1" applyFont="1" applyFill="1" applyBorder="1" applyAlignment="1">
      <alignment horizontal="left" vertical="top" wrapText="1"/>
    </xf>
    <xf numFmtId="0" fontId="2" fillId="0" borderId="11" xfId="0" applyFont="1" applyBorder="1" applyAlignment="1" applyProtection="1">
      <alignment horizontal="left" vertical="top"/>
      <protection locked="0"/>
    </xf>
    <xf numFmtId="3" fontId="13" fillId="0" borderId="12" xfId="5" applyNumberFormat="1" applyFont="1" applyBorder="1" applyAlignment="1" applyProtection="1">
      <alignment horizontal="left" vertical="top"/>
      <protection locked="0"/>
    </xf>
    <xf numFmtId="0" fontId="2" fillId="0" borderId="12" xfId="0" applyFont="1" applyBorder="1" applyAlignment="1">
      <alignment horizontal="left" vertical="top"/>
    </xf>
    <xf numFmtId="0" fontId="2" fillId="0" borderId="12" xfId="0" applyFont="1"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1" xfId="0" applyBorder="1" applyAlignment="1" applyProtection="1">
      <alignment horizontal="left" vertical="top"/>
      <protection locked="0"/>
    </xf>
    <xf numFmtId="3" fontId="13" fillId="0" borderId="11" xfId="5" applyNumberFormat="1" applyFont="1" applyBorder="1" applyAlignment="1" applyProtection="1">
      <alignment horizontal="left" vertical="top"/>
      <protection locked="0"/>
    </xf>
    <xf numFmtId="0" fontId="20" fillId="3" borderId="121" xfId="0" applyFont="1" applyFill="1" applyBorder="1" applyAlignment="1" applyProtection="1">
      <alignment horizontal="left" vertical="center"/>
      <protection locked="0"/>
    </xf>
    <xf numFmtId="0" fontId="0" fillId="0" borderId="73" xfId="11" applyFont="1" applyBorder="1" applyAlignment="1">
      <alignment horizontal="left" vertical="top" wrapText="1"/>
    </xf>
    <xf numFmtId="0" fontId="0" fillId="0" borderId="124" xfId="0" applyBorder="1" applyAlignment="1">
      <alignment horizontal="left" vertical="top"/>
    </xf>
    <xf numFmtId="0" fontId="9" fillId="0" borderId="124" xfId="0" applyFont="1" applyBorder="1" applyAlignment="1">
      <alignment horizontal="left" vertical="top"/>
    </xf>
    <xf numFmtId="0" fontId="20" fillId="3" borderId="108" xfId="0" applyFont="1" applyFill="1" applyBorder="1" applyAlignment="1" applyProtection="1">
      <alignment horizontal="left" vertical="center"/>
      <protection locked="0"/>
    </xf>
    <xf numFmtId="0" fontId="20" fillId="3" borderId="111" xfId="0" applyFont="1" applyFill="1" applyBorder="1" applyAlignment="1" applyProtection="1">
      <alignment horizontal="left" vertical="center"/>
      <protection locked="0"/>
    </xf>
    <xf numFmtId="0" fontId="20" fillId="0" borderId="128" xfId="10" applyFont="1" applyFill="1" applyBorder="1" applyAlignment="1">
      <alignment horizontal="left" vertical="top"/>
    </xf>
    <xf numFmtId="0" fontId="20" fillId="0" borderId="100" xfId="10" applyFont="1" applyFill="1" applyBorder="1" applyAlignment="1">
      <alignment horizontal="left" vertical="top"/>
    </xf>
    <xf numFmtId="0" fontId="20" fillId="0" borderId="100" xfId="10" applyFont="1" applyFill="1" applyBorder="1" applyAlignment="1">
      <alignment horizontal="left" vertical="top" wrapText="1"/>
    </xf>
    <xf numFmtId="0" fontId="20" fillId="0" borderId="129" xfId="10" applyFont="1" applyFill="1" applyBorder="1" applyAlignment="1">
      <alignment horizontal="left" vertical="top"/>
    </xf>
    <xf numFmtId="3" fontId="13" fillId="0" borderId="36" xfId="5" applyNumberFormat="1" applyFont="1" applyBorder="1" applyAlignment="1">
      <alignment horizontal="left" vertical="top"/>
    </xf>
    <xf numFmtId="0" fontId="0" fillId="0" borderId="124" xfId="0" applyBorder="1"/>
    <xf numFmtId="173" fontId="0" fillId="0" borderId="2" xfId="0" applyNumberFormat="1" applyBorder="1" applyAlignment="1">
      <alignment horizontal="left" vertical="top" wrapText="1"/>
    </xf>
    <xf numFmtId="173" fontId="0" fillId="0" borderId="11" xfId="0" applyNumberFormat="1" applyBorder="1" applyAlignment="1">
      <alignment horizontal="left" vertical="top" wrapText="1"/>
    </xf>
    <xf numFmtId="173" fontId="0" fillId="0" borderId="44" xfId="0" applyNumberFormat="1" applyBorder="1" applyAlignment="1">
      <alignment horizontal="left" vertical="top" wrapText="1"/>
    </xf>
    <xf numFmtId="173" fontId="0" fillId="0" borderId="36" xfId="0" applyNumberFormat="1" applyBorder="1" applyAlignment="1">
      <alignment horizontal="left" vertical="top" wrapText="1"/>
    </xf>
    <xf numFmtId="0" fontId="0" fillId="3" borderId="121" xfId="0" applyFill="1" applyBorder="1" applyAlignment="1" applyProtection="1">
      <alignment horizontal="left" vertical="top" wrapText="1"/>
      <protection locked="0"/>
    </xf>
    <xf numFmtId="0" fontId="0" fillId="3" borderId="122" xfId="0" applyFill="1" applyBorder="1" applyAlignment="1" applyProtection="1">
      <alignment horizontal="left" vertical="top" wrapText="1"/>
      <protection locked="0"/>
    </xf>
    <xf numFmtId="0" fontId="0" fillId="3" borderId="123" xfId="0" applyFill="1" applyBorder="1" applyAlignment="1" applyProtection="1">
      <alignment horizontal="left" vertical="top" wrapText="1"/>
      <protection locked="0"/>
    </xf>
    <xf numFmtId="0" fontId="3" fillId="14" borderId="0" xfId="0" applyFont="1" applyFill="1"/>
    <xf numFmtId="0" fontId="3" fillId="15" borderId="0" xfId="0" applyFont="1" applyFill="1"/>
    <xf numFmtId="0" fontId="9" fillId="0" borderId="0" xfId="0" applyFont="1"/>
    <xf numFmtId="0" fontId="9" fillId="0" borderId="124" xfId="0" applyFont="1" applyBorder="1"/>
    <xf numFmtId="172" fontId="0" fillId="0" borderId="2" xfId="0" applyNumberFormat="1" applyBorder="1" applyAlignment="1">
      <alignment horizontal="left" vertical="top"/>
    </xf>
    <xf numFmtId="172" fontId="0" fillId="0" borderId="11" xfId="0" applyNumberFormat="1" applyBorder="1" applyAlignment="1">
      <alignment horizontal="left" vertical="top"/>
    </xf>
    <xf numFmtId="172" fontId="0" fillId="0" borderId="44" xfId="0" applyNumberFormat="1" applyBorder="1" applyAlignment="1">
      <alignment horizontal="left" vertical="top"/>
    </xf>
    <xf numFmtId="172" fontId="0" fillId="0" borderId="36" xfId="0" applyNumberFormat="1" applyBorder="1" applyAlignment="1">
      <alignment horizontal="left" vertical="top"/>
    </xf>
    <xf numFmtId="172" fontId="0" fillId="0" borderId="46" xfId="0" applyNumberFormat="1" applyBorder="1" applyAlignment="1">
      <alignment horizontal="left" vertical="top"/>
    </xf>
    <xf numFmtId="172" fontId="0" fillId="0" borderId="31" xfId="0" applyNumberFormat="1" applyBorder="1" applyAlignment="1">
      <alignment horizontal="left" vertical="top"/>
    </xf>
    <xf numFmtId="172" fontId="9" fillId="0" borderId="2" xfId="0" applyNumberFormat="1" applyFont="1" applyBorder="1" applyAlignment="1">
      <alignment horizontal="left" vertical="top"/>
    </xf>
    <xf numFmtId="172" fontId="9" fillId="0" borderId="11" xfId="0" applyNumberFormat="1" applyFont="1" applyBorder="1" applyAlignment="1">
      <alignment horizontal="left" vertical="top"/>
    </xf>
    <xf numFmtId="172" fontId="0" fillId="0" borderId="124" xfId="0" applyNumberFormat="1" applyBorder="1" applyAlignment="1">
      <alignment horizontal="left" vertical="top"/>
    </xf>
    <xf numFmtId="172" fontId="0" fillId="0" borderId="125" xfId="0" applyNumberFormat="1" applyBorder="1" applyAlignment="1">
      <alignment horizontal="left" vertical="top"/>
    </xf>
    <xf numFmtId="0" fontId="0" fillId="0" borderId="111" xfId="0" applyBorder="1" applyAlignment="1">
      <alignment horizontal="left" vertical="top" wrapText="1"/>
    </xf>
    <xf numFmtId="0" fontId="0" fillId="3" borderId="108" xfId="0" applyFill="1" applyBorder="1" applyAlignment="1" applyProtection="1">
      <alignment horizontal="left" vertical="top" wrapText="1"/>
      <protection locked="0"/>
    </xf>
    <xf numFmtId="0" fontId="9" fillId="0" borderId="130" xfId="0" applyFont="1" applyBorder="1" applyAlignment="1">
      <alignment horizontal="left" vertical="top" wrapText="1"/>
    </xf>
    <xf numFmtId="0" fontId="0" fillId="0" borderId="90" xfId="0" applyBorder="1" applyAlignment="1">
      <alignment horizontal="left" vertical="top" wrapText="1"/>
    </xf>
    <xf numFmtId="0" fontId="28" fillId="0" borderId="131" xfId="0" applyFont="1" applyBorder="1" applyAlignment="1">
      <alignment horizontal="left" vertical="top" wrapText="1"/>
    </xf>
    <xf numFmtId="0" fontId="0" fillId="0" borderId="108" xfId="0" applyBorder="1" applyAlignment="1">
      <alignment horizontal="left" vertical="top" wrapText="1"/>
    </xf>
    <xf numFmtId="0" fontId="28" fillId="0" borderId="132" xfId="0" applyFont="1" applyBorder="1" applyAlignment="1">
      <alignment horizontal="left" vertical="top" wrapText="1"/>
    </xf>
    <xf numFmtId="0" fontId="28" fillId="0" borderId="133" xfId="0" applyFont="1" applyBorder="1" applyAlignment="1">
      <alignment horizontal="left" vertical="top" wrapText="1"/>
    </xf>
    <xf numFmtId="0" fontId="0" fillId="0" borderId="134" xfId="0" applyBorder="1" applyAlignment="1">
      <alignment horizontal="left" vertical="top" wrapText="1" indent="2"/>
    </xf>
    <xf numFmtId="0" fontId="0" fillId="0" borderId="112" xfId="0" applyBorder="1" applyAlignment="1">
      <alignment horizontal="left" vertical="top"/>
    </xf>
    <xf numFmtId="172" fontId="0" fillId="0" borderId="113" xfId="0" applyNumberFormat="1" applyBorder="1" applyAlignment="1">
      <alignment horizontal="left" vertical="top"/>
    </xf>
    <xf numFmtId="0" fontId="0" fillId="0" borderId="85" xfId="0" applyBorder="1" applyAlignment="1">
      <alignment horizontal="left" vertical="top"/>
    </xf>
    <xf numFmtId="0" fontId="9" fillId="0" borderId="135" xfId="0" applyFont="1" applyBorder="1" applyAlignment="1">
      <alignment horizontal="left" vertical="top"/>
    </xf>
    <xf numFmtId="0" fontId="9" fillId="0" borderId="136" xfId="0" applyFont="1" applyBorder="1" applyAlignment="1">
      <alignment horizontal="left" vertical="top"/>
    </xf>
    <xf numFmtId="172" fontId="9" fillId="0" borderId="126" xfId="0" applyNumberFormat="1" applyFont="1" applyBorder="1" applyAlignment="1">
      <alignment horizontal="left" vertical="top"/>
    </xf>
    <xf numFmtId="172" fontId="9" fillId="0" borderId="127" xfId="0" applyNumberFormat="1" applyFont="1" applyBorder="1" applyAlignment="1">
      <alignment horizontal="left" vertical="top"/>
    </xf>
    <xf numFmtId="0" fontId="0" fillId="0" borderId="31" xfId="0" applyBorder="1" applyAlignment="1">
      <alignment horizontal="left" vertical="top" wrapText="1"/>
    </xf>
    <xf numFmtId="0" fontId="27" fillId="0" borderId="0" xfId="0" applyFont="1" applyAlignment="1">
      <alignment horizontal="center" vertical="center" wrapText="1"/>
    </xf>
    <xf numFmtId="0" fontId="0" fillId="5" borderId="20" xfId="0" applyFill="1" applyBorder="1" applyAlignment="1">
      <alignment horizontal="left"/>
    </xf>
    <xf numFmtId="0" fontId="27" fillId="0" borderId="20" xfId="0" applyFont="1" applyBorder="1" applyAlignment="1">
      <alignment horizontal="center" wrapText="1"/>
    </xf>
    <xf numFmtId="0" fontId="0" fillId="0" borderId="20" xfId="0" applyBorder="1" applyAlignment="1">
      <alignment horizontal="center"/>
    </xf>
    <xf numFmtId="0" fontId="0" fillId="0" borderId="0" xfId="0" applyAlignment="1">
      <alignment horizontal="center"/>
    </xf>
    <xf numFmtId="0" fontId="51" fillId="0" borderId="2" xfId="0" applyFont="1" applyBorder="1" applyAlignment="1">
      <alignment horizontal="left"/>
    </xf>
    <xf numFmtId="0" fontId="51" fillId="0" borderId="2" xfId="0" applyFont="1" applyBorder="1" applyAlignment="1">
      <alignment horizontal="center" wrapText="1"/>
    </xf>
    <xf numFmtId="0" fontId="51" fillId="0" borderId="7" xfId="0" applyFont="1" applyBorder="1" applyAlignment="1">
      <alignment horizontal="center" wrapText="1"/>
    </xf>
    <xf numFmtId="0" fontId="51" fillId="0" borderId="2" xfId="0" applyFont="1" applyBorder="1" applyAlignment="1">
      <alignment horizontal="center"/>
    </xf>
    <xf numFmtId="0" fontId="51" fillId="0" borderId="7" xfId="0" applyFont="1" applyBorder="1" applyAlignment="1">
      <alignment horizontal="center"/>
    </xf>
    <xf numFmtId="164" fontId="13" fillId="0" borderId="44" xfId="0" applyNumberFormat="1" applyFont="1" applyBorder="1" applyAlignment="1">
      <alignment horizontal="left" vertical="top"/>
    </xf>
    <xf numFmtId="164" fontId="0" fillId="0" borderId="44" xfId="0" applyNumberFormat="1" applyBorder="1" applyAlignment="1">
      <alignment horizontal="left" vertical="top"/>
    </xf>
    <xf numFmtId="164" fontId="2" fillId="0" borderId="44" xfId="0" applyNumberFormat="1" applyFont="1" applyBorder="1" applyAlignment="1">
      <alignment horizontal="left" vertical="top"/>
    </xf>
    <xf numFmtId="167" fontId="0" fillId="0" borderId="86" xfId="0" applyNumberFormat="1" applyBorder="1" applyAlignment="1">
      <alignment horizontal="left" vertical="top" wrapText="1"/>
    </xf>
    <xf numFmtId="0" fontId="9" fillId="4" borderId="48" xfId="11" applyFont="1" applyFill="1" applyBorder="1" applyAlignment="1">
      <alignment horizontal="left" vertical="top" wrapText="1"/>
    </xf>
    <xf numFmtId="0" fontId="0" fillId="3" borderId="36" xfId="0" applyFill="1" applyBorder="1" applyAlignment="1" applyProtection="1">
      <alignment horizontal="left" vertical="top"/>
      <protection locked="0"/>
    </xf>
    <xf numFmtId="14" fontId="0" fillId="0" borderId="0" xfId="0" applyNumberFormat="1"/>
    <xf numFmtId="14" fontId="15" fillId="0" borderId="0" xfId="11" applyNumberFormat="1" applyAlignment="1">
      <alignment horizontal="left" vertical="top"/>
    </xf>
    <xf numFmtId="0" fontId="9" fillId="0" borderId="4" xfId="11" applyFont="1" applyBorder="1" applyAlignment="1">
      <alignment horizontal="left" vertical="top" wrapText="1"/>
    </xf>
    <xf numFmtId="0" fontId="9" fillId="0" borderId="6" xfId="11" applyFont="1" applyBorder="1" applyAlignment="1">
      <alignment horizontal="left" vertical="top"/>
    </xf>
    <xf numFmtId="0" fontId="9" fillId="0" borderId="48" xfId="11" applyFont="1" applyBorder="1" applyAlignment="1">
      <alignment horizontal="left" vertical="top" wrapText="1"/>
    </xf>
    <xf numFmtId="0" fontId="9" fillId="0" borderId="31" xfId="11" applyFont="1" applyBorder="1" applyAlignment="1">
      <alignment horizontal="left" vertical="top"/>
    </xf>
    <xf numFmtId="0" fontId="9" fillId="0" borderId="137" xfId="11" applyFont="1" applyBorder="1" applyAlignment="1">
      <alignment horizontal="left" vertical="top" wrapText="1"/>
    </xf>
    <xf numFmtId="0" fontId="9" fillId="0" borderId="138" xfId="11" applyFont="1" applyBorder="1" applyAlignment="1">
      <alignment horizontal="left" vertical="top"/>
    </xf>
    <xf numFmtId="0" fontId="2" fillId="4" borderId="139" xfId="11" applyFont="1" applyFill="1" applyBorder="1" applyAlignment="1">
      <alignment horizontal="left" vertical="top"/>
    </xf>
    <xf numFmtId="0" fontId="2" fillId="3" borderId="101" xfId="11" applyFont="1" applyFill="1" applyBorder="1" applyAlignment="1" applyProtection="1">
      <alignment horizontal="left" vertical="top"/>
      <protection locked="0"/>
    </xf>
    <xf numFmtId="0" fontId="20" fillId="0" borderId="80" xfId="0" applyFont="1" applyBorder="1" applyAlignment="1">
      <alignment horizontal="left" vertical="top" wrapText="1"/>
    </xf>
    <xf numFmtId="0" fontId="2" fillId="0" borderId="140" xfId="0" applyFont="1" applyBorder="1" applyAlignment="1">
      <alignment horizontal="left" vertical="top"/>
    </xf>
    <xf numFmtId="0" fontId="2" fillId="0" borderId="143" xfId="0" applyFont="1" applyBorder="1" applyAlignment="1">
      <alignment horizontal="left" vertical="top"/>
    </xf>
    <xf numFmtId="172" fontId="0" fillId="0" borderId="146" xfId="0" applyNumberFormat="1" applyBorder="1" applyAlignment="1">
      <alignment horizontal="left" vertical="top"/>
    </xf>
    <xf numFmtId="172" fontId="0" fillId="0" borderId="147" xfId="0" applyNumberFormat="1" applyBorder="1" applyAlignment="1">
      <alignment horizontal="left" vertical="top"/>
    </xf>
    <xf numFmtId="14" fontId="0" fillId="0" borderId="124" xfId="0" applyNumberFormat="1" applyBorder="1"/>
    <xf numFmtId="0" fontId="3" fillId="10" borderId="0" xfId="0" quotePrefix="1" applyFont="1" applyFill="1"/>
    <xf numFmtId="0" fontId="3" fillId="15" borderId="0" xfId="0" quotePrefix="1" applyFont="1" applyFill="1"/>
    <xf numFmtId="0" fontId="9" fillId="0" borderId="71" xfId="0" applyFont="1" applyBorder="1" applyAlignment="1">
      <alignment horizontal="left" vertical="top"/>
    </xf>
    <xf numFmtId="171" fontId="0" fillId="0" borderId="11" xfId="0" applyNumberFormat="1" applyBorder="1" applyAlignment="1">
      <alignment horizontal="left" vertical="top" wrapText="1"/>
    </xf>
    <xf numFmtId="171" fontId="0" fillId="0" borderId="36" xfId="0" applyNumberFormat="1" applyBorder="1" applyAlignment="1">
      <alignment horizontal="left" vertical="top" wrapText="1"/>
    </xf>
    <xf numFmtId="0" fontId="0" fillId="0" borderId="33" xfId="0" applyBorder="1"/>
    <xf numFmtId="0" fontId="0" fillId="0" borderId="32" xfId="0" applyBorder="1" applyAlignment="1">
      <alignment horizontal="left" vertical="top"/>
    </xf>
    <xf numFmtId="0" fontId="53" fillId="3" borderId="74" xfId="11" applyFont="1" applyFill="1" applyBorder="1" applyAlignment="1" applyProtection="1">
      <alignment horizontal="left" vertical="top"/>
      <protection locked="0"/>
    </xf>
    <xf numFmtId="0" fontId="0" fillId="5" borderId="0" xfId="0" applyFill="1" applyAlignment="1">
      <alignment horizontal="left"/>
    </xf>
    <xf numFmtId="0" fontId="53" fillId="3" borderId="122" xfId="0" applyFont="1" applyFill="1" applyBorder="1" applyAlignment="1" applyProtection="1">
      <alignment horizontal="left" vertical="center"/>
      <protection locked="0"/>
    </xf>
    <xf numFmtId="171" fontId="9" fillId="3" borderId="56" xfId="0" applyNumberFormat="1" applyFont="1" applyFill="1" applyBorder="1" applyAlignment="1" applyProtection="1">
      <alignment horizontal="left" vertical="top" wrapText="1"/>
      <protection locked="0"/>
    </xf>
    <xf numFmtId="0" fontId="9" fillId="3" borderId="46" xfId="0" applyFont="1" applyFill="1" applyBorder="1" applyAlignment="1" applyProtection="1">
      <alignment horizontal="left" vertical="top" wrapText="1"/>
      <protection locked="0"/>
    </xf>
    <xf numFmtId="171" fontId="54" fillId="3" borderId="56" xfId="0" applyNumberFormat="1" applyFont="1" applyFill="1" applyBorder="1" applyAlignment="1" applyProtection="1">
      <alignment horizontal="left" vertical="top" wrapText="1"/>
      <protection locked="0"/>
    </xf>
    <xf numFmtId="0" fontId="55" fillId="3" borderId="74" xfId="11" applyFont="1" applyFill="1" applyBorder="1" applyAlignment="1" applyProtection="1">
      <alignment horizontal="left" vertical="top"/>
      <protection locked="0"/>
    </xf>
    <xf numFmtId="0" fontId="56" fillId="0" borderId="32" xfId="0" applyFont="1" applyBorder="1"/>
    <xf numFmtId="0" fontId="57" fillId="3" borderId="122" xfId="0" applyFont="1" applyFill="1" applyBorder="1" applyAlignment="1" applyProtection="1">
      <alignment horizontal="left" vertical="center"/>
      <protection locked="0"/>
    </xf>
    <xf numFmtId="0" fontId="57" fillId="3" borderId="123" xfId="0" applyFont="1" applyFill="1" applyBorder="1" applyAlignment="1" applyProtection="1">
      <alignment horizontal="left" vertical="center"/>
      <protection locked="0"/>
    </xf>
    <xf numFmtId="0" fontId="0" fillId="4" borderId="112" xfId="0" applyFill="1" applyBorder="1" applyAlignment="1">
      <alignment horizontal="left" vertical="top"/>
    </xf>
    <xf numFmtId="168" fontId="2" fillId="0" borderId="46" xfId="0" applyNumberFormat="1" applyFont="1" applyBorder="1" applyAlignment="1">
      <alignment horizontal="left" vertical="top"/>
    </xf>
    <xf numFmtId="0" fontId="0" fillId="0" borderId="33" xfId="0" applyBorder="1" applyAlignment="1" applyProtection="1">
      <alignment horizontal="left" vertical="top" wrapText="1"/>
      <protection locked="0"/>
    </xf>
    <xf numFmtId="0" fontId="0" fillId="3" borderId="64" xfId="0" applyFill="1" applyBorder="1" applyAlignment="1" applyProtection="1">
      <alignment horizontal="left" vertical="top" wrapText="1"/>
      <protection locked="0"/>
    </xf>
    <xf numFmtId="0" fontId="57" fillId="3" borderId="108" xfId="0" applyFont="1" applyFill="1" applyBorder="1" applyAlignment="1" applyProtection="1">
      <alignment horizontal="left" vertical="center"/>
      <protection locked="0"/>
    </xf>
    <xf numFmtId="0" fontId="12" fillId="4" borderId="70" xfId="0" applyFont="1" applyFill="1" applyBorder="1" applyAlignment="1">
      <alignment horizontal="left" vertical="top" wrapText="1"/>
    </xf>
    <xf numFmtId="0" fontId="12" fillId="4" borderId="71" xfId="0" applyFont="1" applyFill="1" applyBorder="1" applyAlignment="1">
      <alignment horizontal="left" vertical="top"/>
    </xf>
    <xf numFmtId="0" fontId="9" fillId="0" borderId="22" xfId="0" applyFont="1" applyBorder="1" applyAlignment="1">
      <alignment horizontal="left" vertical="top"/>
    </xf>
    <xf numFmtId="0" fontId="0" fillId="4" borderId="94" xfId="0" applyFill="1" applyBorder="1" applyAlignment="1">
      <alignment horizontal="left" vertical="top"/>
    </xf>
    <xf numFmtId="168" fontId="2" fillId="0" borderId="36" xfId="0" applyNumberFormat="1" applyFont="1" applyBorder="1" applyAlignment="1">
      <alignment horizontal="left" vertical="top"/>
    </xf>
    <xf numFmtId="168" fontId="12" fillId="4" borderId="71" xfId="0" applyNumberFormat="1" applyFont="1" applyFill="1" applyBorder="1" applyAlignment="1">
      <alignment horizontal="left" vertical="top"/>
    </xf>
    <xf numFmtId="0" fontId="23" fillId="0" borderId="155" xfId="11" applyFont="1" applyBorder="1" applyAlignment="1">
      <alignment horizontal="left" vertical="top" wrapText="1"/>
    </xf>
    <xf numFmtId="0" fontId="2" fillId="16" borderId="21" xfId="0" applyFont="1" applyFill="1" applyBorder="1" applyAlignment="1" applyProtection="1">
      <alignment horizontal="center" vertical="center"/>
      <protection locked="0"/>
    </xf>
    <xf numFmtId="0" fontId="2" fillId="16" borderId="0" xfId="0" applyFont="1" applyFill="1" applyAlignment="1" applyProtection="1">
      <alignment horizontal="center" vertical="center"/>
      <protection locked="0"/>
    </xf>
    <xf numFmtId="0" fontId="0" fillId="16" borderId="0" xfId="0" applyFill="1" applyAlignment="1" applyProtection="1">
      <alignment horizontal="center" vertical="center" wrapText="1"/>
      <protection locked="0"/>
    </xf>
    <xf numFmtId="0" fontId="2" fillId="16" borderId="20" xfId="0" applyFont="1" applyFill="1" applyBorder="1" applyAlignment="1" applyProtection="1">
      <alignment horizontal="center" vertical="center"/>
      <protection locked="0"/>
    </xf>
    <xf numFmtId="0" fontId="2" fillId="16" borderId="0" xfId="0" applyFont="1" applyFill="1" applyAlignment="1" applyProtection="1">
      <alignment horizontal="center" vertical="center" wrapText="1"/>
      <protection locked="0"/>
    </xf>
    <xf numFmtId="0" fontId="0" fillId="16" borderId="21" xfId="0" applyFill="1" applyBorder="1" applyAlignment="1" applyProtection="1">
      <alignment horizontal="center" vertical="center" wrapText="1"/>
      <protection locked="0"/>
    </xf>
    <xf numFmtId="0" fontId="2" fillId="16" borderId="2" xfId="0" applyFont="1" applyFill="1" applyBorder="1" applyAlignment="1" applyProtection="1">
      <alignment horizontal="center" vertical="center" wrapText="1"/>
      <protection locked="0"/>
    </xf>
    <xf numFmtId="0" fontId="0" fillId="16" borderId="0" xfId="0" applyFill="1" applyAlignment="1" applyProtection="1">
      <alignment horizontal="center" vertical="center"/>
      <protection locked="0"/>
    </xf>
    <xf numFmtId="0" fontId="2" fillId="16" borderId="2" xfId="0" applyFont="1" applyFill="1" applyBorder="1" applyAlignment="1" applyProtection="1">
      <alignment horizontal="left" vertical="top"/>
      <protection locked="0"/>
    </xf>
    <xf numFmtId="171" fontId="0" fillId="16" borderId="2" xfId="0" applyNumberFormat="1" applyFill="1" applyBorder="1" applyAlignment="1" applyProtection="1">
      <alignment horizontal="left" vertical="top" wrapText="1"/>
      <protection locked="0"/>
    </xf>
    <xf numFmtId="0" fontId="0" fillId="0" borderId="73" xfId="0" applyBorder="1"/>
    <xf numFmtId="0" fontId="0" fillId="0" borderId="19" xfId="0" applyBorder="1" applyAlignment="1">
      <alignment horizontal="left" vertical="top" wrapText="1"/>
    </xf>
    <xf numFmtId="0" fontId="0" fillId="0" borderId="20" xfId="0" applyBorder="1" applyAlignment="1">
      <alignment horizontal="left" vertical="top" wrapText="1"/>
    </xf>
    <xf numFmtId="0" fontId="9" fillId="0" borderId="57" xfId="0" applyFont="1" applyBorder="1" applyAlignment="1">
      <alignment horizontal="left" vertical="top" wrapText="1"/>
    </xf>
    <xf numFmtId="0" fontId="28" fillId="0" borderId="63" xfId="0" applyFont="1" applyBorder="1" applyAlignment="1">
      <alignment horizontal="left" vertical="top" wrapText="1"/>
    </xf>
    <xf numFmtId="0" fontId="0" fillId="0" borderId="160" xfId="0" applyBorder="1" applyAlignment="1">
      <alignment horizontal="left" vertical="top" wrapText="1"/>
    </xf>
    <xf numFmtId="0" fontId="0" fillId="0" borderId="158" xfId="0" applyBorder="1" applyAlignment="1">
      <alignment horizontal="left" vertical="top" wrapText="1"/>
    </xf>
    <xf numFmtId="0" fontId="0" fillId="0" borderId="20" xfId="0" applyBorder="1" applyAlignment="1">
      <alignment horizontal="left" vertical="top" wrapText="1" indent="2"/>
    </xf>
    <xf numFmtId="0" fontId="0" fillId="0" borderId="159" xfId="0" applyBorder="1" applyAlignment="1">
      <alignment horizontal="left" vertical="top" wrapText="1" indent="2"/>
    </xf>
    <xf numFmtId="0" fontId="28" fillId="0" borderId="70" xfId="0" applyFont="1" applyBorder="1" applyAlignment="1">
      <alignment horizontal="left" vertical="top" wrapText="1"/>
    </xf>
    <xf numFmtId="49" fontId="0" fillId="3" borderId="2" xfId="0" quotePrefix="1" applyNumberFormat="1" applyFill="1" applyBorder="1"/>
    <xf numFmtId="0" fontId="38" fillId="0" borderId="0" xfId="10"/>
    <xf numFmtId="49" fontId="3" fillId="11" borderId="0" xfId="0" applyNumberFormat="1" applyFont="1" applyFill="1"/>
    <xf numFmtId="0" fontId="9" fillId="5" borderId="13" xfId="0" applyFont="1" applyFill="1" applyBorder="1" applyAlignment="1">
      <alignment horizontal="left" vertical="top" wrapText="1"/>
    </xf>
    <xf numFmtId="0" fontId="9" fillId="5" borderId="14" xfId="0" applyFont="1" applyFill="1" applyBorder="1" applyAlignment="1">
      <alignment horizontal="left" vertical="top" wrapText="1"/>
    </xf>
    <xf numFmtId="0" fontId="9" fillId="5" borderId="25" xfId="0" applyFont="1" applyFill="1" applyBorder="1" applyAlignment="1" applyProtection="1">
      <alignment horizontal="left" vertical="top" wrapText="1"/>
      <protection locked="0"/>
    </xf>
    <xf numFmtId="0" fontId="0" fillId="3" borderId="56" xfId="0" applyFill="1" applyBorder="1" applyAlignment="1" applyProtection="1">
      <alignment horizontal="left" vertical="top" wrapText="1"/>
      <protection locked="0"/>
    </xf>
    <xf numFmtId="0" fontId="9" fillId="5" borderId="67" xfId="0" applyFont="1" applyFill="1" applyBorder="1" applyAlignment="1">
      <alignment horizontal="left" vertical="top" wrapText="1"/>
    </xf>
    <xf numFmtId="0" fontId="9" fillId="5" borderId="23" xfId="0" applyFont="1" applyFill="1" applyBorder="1" applyAlignment="1">
      <alignment horizontal="left" vertical="top" wrapText="1"/>
    </xf>
    <xf numFmtId="0" fontId="9" fillId="5" borderId="69"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2" fillId="3" borderId="6" xfId="11" applyFont="1" applyFill="1" applyBorder="1" applyAlignment="1" applyProtection="1">
      <alignment horizontal="left" vertical="top"/>
      <protection locked="0"/>
    </xf>
    <xf numFmtId="0" fontId="0" fillId="4" borderId="32" xfId="11" applyFont="1" applyFill="1" applyBorder="1" applyAlignment="1">
      <alignment horizontal="left" vertical="top" wrapText="1"/>
    </xf>
    <xf numFmtId="0" fontId="0" fillId="4" borderId="53" xfId="11" applyFont="1" applyFill="1" applyBorder="1" applyAlignment="1">
      <alignment horizontal="left" vertical="top" wrapText="1"/>
    </xf>
    <xf numFmtId="0" fontId="2" fillId="3" borderId="7" xfId="11" applyFont="1" applyFill="1" applyBorder="1" applyAlignment="1" applyProtection="1">
      <alignment horizontal="left" vertical="top"/>
      <protection locked="0"/>
    </xf>
    <xf numFmtId="0" fontId="20" fillId="0" borderId="37" xfId="11" applyFont="1" applyBorder="1"/>
    <xf numFmtId="0" fontId="38" fillId="4" borderId="77" xfId="10" applyFill="1" applyBorder="1" applyAlignment="1">
      <alignment horizontal="left" vertical="top" wrapText="1"/>
    </xf>
    <xf numFmtId="0" fontId="0" fillId="4" borderId="21" xfId="0" applyFill="1" applyBorder="1" applyAlignment="1">
      <alignment horizontal="left" vertical="top" wrapText="1"/>
    </xf>
    <xf numFmtId="0" fontId="0" fillId="4" borderId="0" xfId="0" applyFill="1" applyAlignment="1">
      <alignment horizontal="left" vertical="top" wrapText="1"/>
    </xf>
    <xf numFmtId="0" fontId="0" fillId="4" borderId="20" xfId="0" applyFill="1" applyBorder="1" applyAlignment="1">
      <alignment horizontal="left" vertical="top" wrapText="1"/>
    </xf>
    <xf numFmtId="0" fontId="38" fillId="4" borderId="18" xfId="10" applyFill="1" applyBorder="1" applyAlignment="1">
      <alignment horizontal="left" vertical="top" wrapText="1"/>
    </xf>
    <xf numFmtId="0" fontId="0" fillId="4" borderId="66" xfId="0" applyFill="1" applyBorder="1" applyAlignment="1">
      <alignment horizontal="left" vertical="top" wrapText="1"/>
    </xf>
    <xf numFmtId="0" fontId="0" fillId="4" borderId="19" xfId="0" applyFill="1" applyBorder="1" applyAlignment="1">
      <alignment horizontal="left" vertical="top" wrapText="1"/>
    </xf>
    <xf numFmtId="0" fontId="38" fillId="0" borderId="3" xfId="10" applyFill="1" applyBorder="1" applyAlignment="1">
      <alignment horizontal="left" vertical="top" indent="2"/>
    </xf>
    <xf numFmtId="0" fontId="38" fillId="0" borderId="2" xfId="10" applyFill="1" applyBorder="1" applyAlignment="1">
      <alignment horizontal="left" vertical="top" indent="2"/>
    </xf>
    <xf numFmtId="0" fontId="38" fillId="0" borderId="7" xfId="10" applyFill="1" applyBorder="1" applyAlignment="1">
      <alignment horizontal="left" vertical="top" indent="2"/>
    </xf>
    <xf numFmtId="0" fontId="7" fillId="5" borderId="73" xfId="21" applyFont="1" applyBorder="1">
      <alignment horizontal="center" vertical="center"/>
    </xf>
    <xf numFmtId="49" fontId="0" fillId="13" borderId="74" xfId="22" applyFont="1" applyBorder="1" applyAlignment="1">
      <alignment horizontal="center" vertical="center"/>
    </xf>
    <xf numFmtId="0" fontId="9" fillId="5" borderId="24" xfId="0" applyFont="1" applyFill="1" applyBorder="1" applyAlignment="1">
      <alignment horizontal="left" vertical="top"/>
    </xf>
    <xf numFmtId="0" fontId="9" fillId="5" borderId="28" xfId="0" applyFont="1" applyFill="1" applyBorder="1" applyAlignment="1">
      <alignment horizontal="left" vertical="top"/>
    </xf>
    <xf numFmtId="0" fontId="9" fillId="5" borderId="25" xfId="0" applyFont="1" applyFill="1" applyBorder="1" applyAlignment="1">
      <alignment horizontal="left" vertical="top"/>
    </xf>
    <xf numFmtId="0" fontId="12" fillId="5" borderId="57" xfId="0" applyFont="1" applyFill="1" applyBorder="1" applyAlignment="1">
      <alignment horizontal="left" vertical="top" wrapText="1"/>
    </xf>
    <xf numFmtId="0" fontId="12" fillId="5" borderId="58" xfId="0" applyFont="1" applyFill="1" applyBorder="1" applyAlignment="1">
      <alignment horizontal="left" vertical="top" wrapText="1"/>
    </xf>
    <xf numFmtId="0" fontId="12" fillId="5" borderId="59" xfId="0" applyFont="1" applyFill="1" applyBorder="1" applyAlignment="1">
      <alignment horizontal="left" vertical="top" wrapText="1"/>
    </xf>
    <xf numFmtId="0" fontId="0" fillId="0" borderId="70" xfId="0" applyBorder="1" applyAlignment="1">
      <alignment horizontal="left" vertical="top" wrapText="1"/>
    </xf>
    <xf numFmtId="0" fontId="2" fillId="0" borderId="71" xfId="0" applyFont="1" applyBorder="1" applyAlignment="1">
      <alignment horizontal="left" vertical="top" wrapText="1"/>
    </xf>
    <xf numFmtId="0" fontId="2" fillId="0" borderId="22" xfId="0" applyFont="1" applyBorder="1" applyAlignment="1">
      <alignment horizontal="left" vertical="top" wrapText="1"/>
    </xf>
    <xf numFmtId="0" fontId="29" fillId="0" borderId="63" xfId="11" quotePrefix="1" applyFont="1" applyBorder="1" applyAlignment="1">
      <alignment horizontal="left" vertical="top" wrapText="1"/>
    </xf>
    <xf numFmtId="0" fontId="29" fillId="0" borderId="64" xfId="11" applyFont="1" applyBorder="1" applyAlignment="1">
      <alignment horizontal="left" vertical="top" wrapText="1"/>
    </xf>
    <xf numFmtId="0" fontId="29" fillId="0" borderId="52" xfId="11" applyFont="1" applyBorder="1" applyAlignment="1">
      <alignment horizontal="left" vertical="top" wrapText="1"/>
    </xf>
    <xf numFmtId="0" fontId="9" fillId="5" borderId="57" xfId="0" applyFont="1" applyFill="1" applyBorder="1" applyAlignment="1">
      <alignment horizontal="left" vertical="top"/>
    </xf>
    <xf numFmtId="0" fontId="9" fillId="5" borderId="58" xfId="0" applyFont="1" applyFill="1" applyBorder="1" applyAlignment="1">
      <alignment horizontal="left" vertical="top"/>
    </xf>
    <xf numFmtId="0" fontId="9" fillId="5" borderId="59" xfId="0" applyFont="1" applyFill="1" applyBorder="1" applyAlignment="1">
      <alignment horizontal="left" vertical="top"/>
    </xf>
    <xf numFmtId="0" fontId="0" fillId="4" borderId="16" xfId="0" applyFill="1" applyBorder="1" applyAlignment="1">
      <alignment horizontal="left" vertical="top" wrapText="1"/>
    </xf>
    <xf numFmtId="0" fontId="2" fillId="4" borderId="65" xfId="0" applyFont="1" applyFill="1" applyBorder="1" applyAlignment="1">
      <alignment horizontal="left" vertical="top" wrapText="1"/>
    </xf>
    <xf numFmtId="0" fontId="2" fillId="4" borderId="17" xfId="0" applyFont="1" applyFill="1" applyBorder="1" applyAlignment="1">
      <alignment horizontal="left" vertical="top" wrapText="1"/>
    </xf>
    <xf numFmtId="0" fontId="29" fillId="0" borderId="0" xfId="11" quotePrefix="1" applyFont="1" applyAlignment="1">
      <alignment horizontal="left" vertical="top" wrapText="1"/>
    </xf>
    <xf numFmtId="0" fontId="29" fillId="0" borderId="0" xfId="11" applyFont="1" applyAlignment="1">
      <alignment horizontal="left" vertical="top" wrapText="1"/>
    </xf>
    <xf numFmtId="0" fontId="0" fillId="13" borderId="62" xfId="22" applyNumberFormat="1" applyFont="1" applyBorder="1" applyAlignment="1">
      <alignment horizontal="center" vertical="center"/>
    </xf>
    <xf numFmtId="0" fontId="38" fillId="0" borderId="8" xfId="10" applyFill="1" applyBorder="1" applyAlignment="1">
      <alignment horizontal="left" vertical="top" indent="2"/>
    </xf>
    <xf numFmtId="0" fontId="38" fillId="0" borderId="9" xfId="10" applyFill="1" applyBorder="1" applyAlignment="1">
      <alignment horizontal="left" vertical="top" indent="2"/>
    </xf>
    <xf numFmtId="0" fontId="38" fillId="0" borderId="10" xfId="10" applyFill="1" applyBorder="1" applyAlignment="1">
      <alignment horizontal="left" vertical="top" indent="2"/>
    </xf>
    <xf numFmtId="0" fontId="28" fillId="0" borderId="0" xfId="0" applyFont="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0" fillId="0" borderId="7" xfId="0" applyBorder="1" applyAlignment="1">
      <alignment horizontal="left" vertical="top"/>
    </xf>
    <xf numFmtId="0" fontId="38" fillId="0" borderId="0" xfId="10" applyFill="1" applyBorder="1" applyAlignment="1">
      <alignment horizontal="left" vertical="top"/>
    </xf>
    <xf numFmtId="0" fontId="29" fillId="0" borderId="65" xfId="11" quotePrefix="1" applyFont="1" applyBorder="1" applyAlignment="1">
      <alignment horizontal="left" vertical="top" wrapText="1"/>
    </xf>
    <xf numFmtId="0" fontId="2" fillId="0" borderId="8" xfId="11" applyFont="1" applyBorder="1" applyAlignment="1">
      <alignment horizontal="left" vertical="top" wrapText="1"/>
    </xf>
    <xf numFmtId="0" fontId="2" fillId="0" borderId="9" xfId="11" applyFont="1" applyBorder="1" applyAlignment="1">
      <alignment horizontal="left" vertical="top" wrapText="1"/>
    </xf>
    <xf numFmtId="0" fontId="2" fillId="0" borderId="10" xfId="11" applyFont="1" applyBorder="1" applyAlignment="1">
      <alignment horizontal="left" vertical="top" wrapText="1"/>
    </xf>
    <xf numFmtId="0" fontId="9" fillId="5" borderId="13" xfId="0" applyFont="1" applyFill="1" applyBorder="1" applyAlignment="1">
      <alignment horizontal="left" vertical="top"/>
    </xf>
    <xf numFmtId="0" fontId="9" fillId="5" borderId="23" xfId="0" applyFont="1" applyFill="1" applyBorder="1" applyAlignment="1">
      <alignment horizontal="left" vertical="top"/>
    </xf>
    <xf numFmtId="0" fontId="9" fillId="5" borderId="14" xfId="0" applyFont="1" applyFill="1" applyBorder="1" applyAlignment="1">
      <alignment horizontal="left" vertical="top"/>
    </xf>
    <xf numFmtId="0" fontId="9" fillId="5" borderId="57" xfId="0" applyFont="1" applyFill="1" applyBorder="1" applyAlignment="1">
      <alignment horizontal="left" vertical="top" wrapText="1"/>
    </xf>
    <xf numFmtId="0" fontId="9" fillId="5" borderId="58" xfId="0" applyFont="1" applyFill="1" applyBorder="1" applyAlignment="1">
      <alignment horizontal="left" vertical="top" wrapText="1"/>
    </xf>
    <xf numFmtId="0" fontId="9" fillId="5" borderId="59" xfId="0" applyFont="1" applyFill="1" applyBorder="1" applyAlignment="1">
      <alignment horizontal="left" vertical="top" wrapText="1"/>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29" fillId="0" borderId="66" xfId="11" quotePrefix="1" applyFont="1" applyBorder="1" applyAlignment="1">
      <alignment horizontal="left" vertical="top" wrapText="1"/>
    </xf>
    <xf numFmtId="0" fontId="29" fillId="0" borderId="66" xfId="11" applyFont="1" applyBorder="1" applyAlignment="1">
      <alignment horizontal="left" vertical="top" wrapText="1"/>
    </xf>
    <xf numFmtId="0" fontId="0" fillId="0" borderId="24" xfId="0" applyBorder="1" applyAlignment="1">
      <alignment horizontal="left" vertical="top" wrapText="1"/>
    </xf>
    <xf numFmtId="0" fontId="2" fillId="0" borderId="28" xfId="0" applyFont="1" applyBorder="1" applyAlignment="1">
      <alignment horizontal="left" vertical="top" wrapText="1"/>
    </xf>
    <xf numFmtId="0" fontId="2" fillId="0" borderId="25" xfId="0" applyFont="1" applyBorder="1" applyAlignment="1">
      <alignment horizontal="left" vertical="top" wrapText="1"/>
    </xf>
    <xf numFmtId="0" fontId="38" fillId="0" borderId="5" xfId="10" applyBorder="1" applyAlignment="1">
      <alignment horizontal="left" vertical="top"/>
    </xf>
    <xf numFmtId="0" fontId="38" fillId="0" borderId="6" xfId="10" applyBorder="1" applyAlignment="1">
      <alignment horizontal="left" vertical="top"/>
    </xf>
    <xf numFmtId="0" fontId="38" fillId="0" borderId="2" xfId="10" applyBorder="1" applyAlignment="1">
      <alignment horizontal="left" vertical="top" wrapText="1"/>
    </xf>
    <xf numFmtId="0" fontId="38" fillId="0" borderId="7" xfId="10" applyBorder="1" applyAlignment="1">
      <alignment horizontal="left" vertical="top" wrapText="1"/>
    </xf>
    <xf numFmtId="0" fontId="38" fillId="0" borderId="11" xfId="10" applyBorder="1" applyAlignment="1">
      <alignment horizontal="left" vertical="top"/>
    </xf>
    <xf numFmtId="0" fontId="38" fillId="0" borderId="12" xfId="10" applyBorder="1" applyAlignment="1">
      <alignment horizontal="left" vertical="top"/>
    </xf>
    <xf numFmtId="0" fontId="38" fillId="0" borderId="30" xfId="10" applyBorder="1" applyAlignment="1">
      <alignment horizontal="left" vertical="top"/>
    </xf>
    <xf numFmtId="0" fontId="38" fillId="0" borderId="2" xfId="10" applyBorder="1" applyAlignment="1">
      <alignment horizontal="left" vertical="top"/>
    </xf>
    <xf numFmtId="0" fontId="38" fillId="0" borderId="7" xfId="10" applyBorder="1" applyAlignment="1">
      <alignment horizontal="left" vertical="top"/>
    </xf>
    <xf numFmtId="0" fontId="38" fillId="0" borderId="144" xfId="10" applyBorder="1" applyAlignment="1">
      <alignment horizontal="left" vertical="top" wrapText="1"/>
    </xf>
    <xf numFmtId="0" fontId="38" fillId="0" borderId="145" xfId="10" applyBorder="1" applyAlignment="1">
      <alignment horizontal="left" vertical="top" wrapText="1"/>
    </xf>
    <xf numFmtId="0" fontId="38" fillId="0" borderId="141" xfId="10" applyBorder="1" applyAlignment="1">
      <alignment horizontal="left" vertical="top" wrapText="1"/>
    </xf>
    <xf numFmtId="0" fontId="38" fillId="0" borderId="142" xfId="10" applyBorder="1" applyAlignment="1">
      <alignment horizontal="left" vertical="top" wrapText="1"/>
    </xf>
    <xf numFmtId="0" fontId="0" fillId="0" borderId="63" xfId="0" applyBorder="1" applyAlignment="1">
      <alignment horizontal="left" vertical="top" wrapText="1"/>
    </xf>
    <xf numFmtId="0" fontId="2" fillId="0" borderId="64" xfId="0" applyFont="1" applyBorder="1" applyAlignment="1">
      <alignment horizontal="left" vertical="top" wrapText="1"/>
    </xf>
    <xf numFmtId="0" fontId="2" fillId="0" borderId="52" xfId="0" applyFont="1" applyBorder="1" applyAlignment="1">
      <alignment horizontal="left" vertical="top" wrapText="1"/>
    </xf>
    <xf numFmtId="0" fontId="0" fillId="0" borderId="57" xfId="0" applyBorder="1" applyAlignment="1">
      <alignment horizontal="left" vertical="top" wrapText="1"/>
    </xf>
    <xf numFmtId="0" fontId="2" fillId="0" borderId="58" xfId="0" applyFont="1" applyBorder="1" applyAlignment="1">
      <alignment horizontal="left" vertical="top" wrapText="1"/>
    </xf>
    <xf numFmtId="0" fontId="2" fillId="0" borderId="59" xfId="0" applyFont="1" applyBorder="1" applyAlignment="1">
      <alignment horizontal="left" vertical="top" wrapText="1"/>
    </xf>
    <xf numFmtId="0" fontId="38" fillId="4" borderId="18" xfId="10" applyFill="1" applyBorder="1" applyAlignment="1" applyProtection="1">
      <alignment horizontal="left" vertical="top" wrapText="1"/>
    </xf>
    <xf numFmtId="0" fontId="38" fillId="4" borderId="66" xfId="10" applyFill="1" applyBorder="1" applyAlignment="1" applyProtection="1">
      <alignment horizontal="left" vertical="top" wrapText="1"/>
    </xf>
    <xf numFmtId="0" fontId="0" fillId="4" borderId="21" xfId="11" applyFont="1" applyFill="1" applyBorder="1" applyAlignment="1">
      <alignment horizontal="left" vertical="top" wrapText="1"/>
    </xf>
    <xf numFmtId="0" fontId="0" fillId="4" borderId="0" xfId="11" applyFont="1" applyFill="1" applyAlignment="1">
      <alignment horizontal="left" vertical="top" wrapText="1"/>
    </xf>
    <xf numFmtId="0" fontId="16" fillId="0" borderId="65" xfId="11" quotePrefix="1" applyFont="1" applyBorder="1" applyAlignment="1">
      <alignment horizontal="left" vertical="top"/>
    </xf>
    <xf numFmtId="0" fontId="16" fillId="0" borderId="65" xfId="11" applyFont="1" applyBorder="1" applyAlignment="1">
      <alignment horizontal="left" vertical="top"/>
    </xf>
    <xf numFmtId="0" fontId="38" fillId="0" borderId="0" xfId="10" applyAlignment="1" applyProtection="1">
      <alignment horizontal="left" vertical="top"/>
    </xf>
    <xf numFmtId="0" fontId="16" fillId="0" borderId="0" xfId="11" applyFont="1" applyAlignment="1">
      <alignment horizontal="left" vertical="top"/>
    </xf>
    <xf numFmtId="0" fontId="9" fillId="4" borderId="16" xfId="11" applyFont="1" applyFill="1" applyBorder="1" applyAlignment="1">
      <alignment horizontal="left" vertical="top"/>
    </xf>
    <xf numFmtId="0" fontId="9" fillId="4" borderId="65" xfId="11" applyFont="1" applyFill="1" applyBorder="1" applyAlignment="1">
      <alignment horizontal="left" vertical="top"/>
    </xf>
    <xf numFmtId="0" fontId="9" fillId="4" borderId="49" xfId="11" applyFont="1" applyFill="1" applyBorder="1" applyAlignment="1">
      <alignment horizontal="left" vertical="top" wrapText="1"/>
    </xf>
    <xf numFmtId="0" fontId="9" fillId="4" borderId="50" xfId="11" applyFont="1" applyFill="1" applyBorder="1" applyAlignment="1">
      <alignment horizontal="left" vertical="top" wrapText="1"/>
    </xf>
    <xf numFmtId="0" fontId="9" fillId="5" borderId="16" xfId="11" applyFont="1" applyFill="1" applyBorder="1" applyAlignment="1">
      <alignment horizontal="left" vertical="top"/>
    </xf>
    <xf numFmtId="0" fontId="9" fillId="5" borderId="65" xfId="11" applyFont="1" applyFill="1" applyBorder="1" applyAlignment="1">
      <alignment horizontal="left" vertical="top"/>
    </xf>
    <xf numFmtId="0" fontId="16" fillId="4" borderId="28" xfId="11" quotePrefix="1" applyFont="1" applyFill="1" applyBorder="1" applyAlignment="1">
      <alignment horizontal="left" vertical="top"/>
    </xf>
    <xf numFmtId="0" fontId="16" fillId="4" borderId="25" xfId="11" quotePrefix="1" applyFont="1" applyFill="1" applyBorder="1" applyAlignment="1">
      <alignment horizontal="left" vertical="top"/>
    </xf>
    <xf numFmtId="0" fontId="9" fillId="5" borderId="24" xfId="11" applyFont="1" applyFill="1" applyBorder="1" applyAlignment="1">
      <alignment horizontal="left" vertical="top"/>
    </xf>
    <xf numFmtId="0" fontId="9" fillId="5" borderId="28" xfId="11" applyFont="1" applyFill="1" applyBorder="1" applyAlignment="1">
      <alignment horizontal="left" vertical="top"/>
    </xf>
    <xf numFmtId="0" fontId="2" fillId="4" borderId="0" xfId="11" applyFont="1" applyFill="1" applyAlignment="1">
      <alignment horizontal="left" vertical="top" wrapText="1"/>
    </xf>
    <xf numFmtId="0" fontId="16" fillId="4" borderId="0" xfId="11" quotePrefix="1" applyFont="1" applyFill="1" applyAlignment="1">
      <alignment horizontal="left" vertical="top"/>
    </xf>
    <xf numFmtId="0" fontId="16" fillId="4" borderId="0" xfId="11" applyFont="1" applyFill="1" applyAlignment="1">
      <alignment horizontal="left" vertical="top"/>
    </xf>
    <xf numFmtId="0" fontId="2" fillId="4" borderId="24" xfId="11" applyFont="1" applyFill="1" applyBorder="1" applyAlignment="1">
      <alignment horizontal="left" vertical="top" wrapText="1"/>
    </xf>
    <xf numFmtId="0" fontId="2" fillId="4" borderId="28" xfId="11" applyFont="1" applyFill="1" applyBorder="1" applyAlignment="1">
      <alignment horizontal="left" vertical="top" wrapText="1"/>
    </xf>
    <xf numFmtId="0" fontId="9" fillId="4" borderId="4" xfId="11" applyFont="1" applyFill="1" applyBorder="1" applyAlignment="1">
      <alignment horizontal="left" vertical="top" wrapText="1"/>
    </xf>
    <xf numFmtId="0" fontId="9" fillId="4" borderId="54" xfId="11" applyFont="1" applyFill="1" applyBorder="1" applyAlignment="1">
      <alignment horizontal="left" vertical="top" wrapText="1"/>
    </xf>
    <xf numFmtId="0" fontId="0" fillId="4" borderId="34" xfId="11" applyFont="1" applyFill="1" applyBorder="1" applyAlignment="1">
      <alignment horizontal="left" vertical="top"/>
    </xf>
    <xf numFmtId="0" fontId="2" fillId="4" borderId="37" xfId="11" applyFont="1" applyFill="1" applyBorder="1" applyAlignment="1">
      <alignment horizontal="left" vertical="top"/>
    </xf>
    <xf numFmtId="0" fontId="38" fillId="0" borderId="21" xfId="10" applyBorder="1" applyAlignment="1" applyProtection="1">
      <alignment horizontal="left" vertical="top"/>
    </xf>
    <xf numFmtId="0" fontId="38" fillId="0" borderId="0" xfId="10" applyBorder="1" applyAlignment="1" applyProtection="1">
      <alignment horizontal="left" vertical="top"/>
    </xf>
    <xf numFmtId="0" fontId="2" fillId="5" borderId="28" xfId="11" applyFont="1" applyFill="1" applyBorder="1" applyAlignment="1">
      <alignment horizontal="left" vertical="top"/>
    </xf>
    <xf numFmtId="0" fontId="2" fillId="4" borderId="16" xfId="11" applyFont="1" applyFill="1" applyBorder="1" applyAlignment="1">
      <alignment horizontal="left" vertical="top" wrapText="1"/>
    </xf>
    <xf numFmtId="0" fontId="2" fillId="4" borderId="65" xfId="11" applyFont="1" applyFill="1" applyBorder="1" applyAlignment="1">
      <alignment horizontal="left" vertical="top" wrapText="1"/>
    </xf>
    <xf numFmtId="0" fontId="0" fillId="4" borderId="43" xfId="11" applyFont="1" applyFill="1" applyBorder="1" applyAlignment="1">
      <alignment horizontal="left" vertical="top" wrapText="1"/>
    </xf>
    <xf numFmtId="0" fontId="2" fillId="4" borderId="36" xfId="11" applyFont="1" applyFill="1" applyBorder="1" applyAlignment="1">
      <alignment horizontal="left" vertical="top" wrapText="1"/>
    </xf>
    <xf numFmtId="0" fontId="38" fillId="4" borderId="26" xfId="10" applyFill="1" applyBorder="1" applyAlignment="1" applyProtection="1">
      <alignment horizontal="left" vertical="top"/>
    </xf>
    <xf numFmtId="0" fontId="38" fillId="4" borderId="31" xfId="10" applyFill="1" applyBorder="1" applyAlignment="1" applyProtection="1">
      <alignment horizontal="left" vertical="top"/>
    </xf>
    <xf numFmtId="0" fontId="0" fillId="4" borderId="43" xfId="11" applyFont="1" applyFill="1" applyBorder="1" applyAlignment="1">
      <alignment horizontal="left" vertical="top"/>
    </xf>
    <xf numFmtId="0" fontId="2" fillId="4" borderId="36" xfId="11" applyFont="1" applyFill="1" applyBorder="1" applyAlignment="1">
      <alignment horizontal="left" vertical="top"/>
    </xf>
    <xf numFmtId="0" fontId="9" fillId="4" borderId="16" xfId="11" applyFont="1" applyFill="1" applyBorder="1" applyAlignment="1">
      <alignment horizontal="left" vertical="top" wrapText="1"/>
    </xf>
    <xf numFmtId="0" fontId="9" fillId="4" borderId="65" xfId="11" applyFont="1" applyFill="1" applyBorder="1" applyAlignment="1">
      <alignment horizontal="left" vertical="top" wrapText="1"/>
    </xf>
    <xf numFmtId="0" fontId="16" fillId="4" borderId="0" xfId="12" quotePrefix="1" applyFont="1" applyFill="1" applyBorder="1" applyAlignment="1" applyProtection="1">
      <alignment horizontal="left" vertical="top"/>
    </xf>
    <xf numFmtId="0" fontId="16" fillId="4" borderId="0" xfId="12" applyFont="1" applyFill="1" applyBorder="1" applyAlignment="1" applyProtection="1">
      <alignment horizontal="left" vertical="top"/>
    </xf>
    <xf numFmtId="0" fontId="9" fillId="4" borderId="4" xfId="11" applyFont="1" applyFill="1" applyBorder="1" applyAlignment="1">
      <alignment horizontal="left" vertical="top"/>
    </xf>
    <xf numFmtId="0" fontId="9" fillId="4" borderId="54" xfId="11" applyFont="1" applyFill="1" applyBorder="1" applyAlignment="1">
      <alignment horizontal="left" vertical="top"/>
    </xf>
    <xf numFmtId="0" fontId="9" fillId="4" borderId="17" xfId="11" applyFont="1" applyFill="1" applyBorder="1" applyAlignment="1">
      <alignment horizontal="left" vertical="top"/>
    </xf>
    <xf numFmtId="0" fontId="0" fillId="4" borderId="34" xfId="11" applyFont="1" applyFill="1" applyBorder="1" applyAlignment="1">
      <alignment horizontal="left" vertical="top" wrapText="1"/>
    </xf>
    <xf numFmtId="0" fontId="2" fillId="4" borderId="37" xfId="11" applyFont="1" applyFill="1" applyBorder="1" applyAlignment="1">
      <alignment horizontal="left" vertical="top" wrapText="1"/>
    </xf>
    <xf numFmtId="0" fontId="38" fillId="4" borderId="47" xfId="10" applyFill="1" applyBorder="1" applyAlignment="1" applyProtection="1">
      <alignment horizontal="left" vertical="top" wrapText="1"/>
    </xf>
    <xf numFmtId="0" fontId="38" fillId="4" borderId="32" xfId="10" applyFill="1" applyBorder="1" applyAlignment="1" applyProtection="1">
      <alignment horizontal="left" vertical="top" wrapText="1"/>
    </xf>
    <xf numFmtId="0" fontId="38" fillId="0" borderId="26" xfId="10" applyBorder="1" applyAlignment="1" applyProtection="1">
      <alignment horizontal="left" vertical="top"/>
    </xf>
    <xf numFmtId="0" fontId="38" fillId="0" borderId="31" xfId="10" applyBorder="1" applyAlignment="1" applyProtection="1">
      <alignment horizontal="left" vertical="top"/>
    </xf>
    <xf numFmtId="0" fontId="7" fillId="5" borderId="24" xfId="11" applyFont="1" applyFill="1" applyBorder="1" applyAlignment="1">
      <alignment horizontal="center" vertical="top" wrapText="1"/>
    </xf>
    <xf numFmtId="0" fontId="7" fillId="5" borderId="25" xfId="11" applyFont="1" applyFill="1" applyBorder="1" applyAlignment="1">
      <alignment horizontal="center" vertical="top" wrapText="1"/>
    </xf>
    <xf numFmtId="0" fontId="0" fillId="4" borderId="24" xfId="11" applyFont="1" applyFill="1" applyBorder="1" applyAlignment="1">
      <alignment horizontal="left" vertical="top" wrapText="1"/>
    </xf>
    <xf numFmtId="0" fontId="2" fillId="4" borderId="25" xfId="11" applyFont="1" applyFill="1" applyBorder="1" applyAlignment="1">
      <alignment horizontal="left" vertical="top" wrapText="1"/>
    </xf>
    <xf numFmtId="0" fontId="7" fillId="5" borderId="16" xfId="11" applyFont="1" applyFill="1" applyBorder="1" applyAlignment="1">
      <alignment horizontal="center" vertical="center" wrapText="1"/>
    </xf>
    <xf numFmtId="0" fontId="7" fillId="5" borderId="65" xfId="11" applyFont="1" applyFill="1" applyBorder="1" applyAlignment="1">
      <alignment horizontal="center" vertical="center" wrapText="1"/>
    </xf>
    <xf numFmtId="0" fontId="0" fillId="4" borderId="16" xfId="11" applyFont="1" applyFill="1" applyBorder="1" applyAlignment="1">
      <alignment horizontal="left" vertical="top" wrapText="1"/>
    </xf>
    <xf numFmtId="0" fontId="0" fillId="0" borderId="65" xfId="0" applyBorder="1" applyAlignment="1">
      <alignment horizontal="left" vertical="top" wrapText="1"/>
    </xf>
    <xf numFmtId="0" fontId="0" fillId="4" borderId="18" xfId="11" applyFont="1" applyFill="1" applyBorder="1" applyAlignment="1">
      <alignment horizontal="left" vertical="top" wrapText="1"/>
    </xf>
    <xf numFmtId="0" fontId="0" fillId="0" borderId="66" xfId="0" applyBorder="1" applyAlignment="1">
      <alignment horizontal="left" vertical="top" wrapText="1"/>
    </xf>
    <xf numFmtId="0" fontId="16" fillId="0" borderId="66" xfId="11" applyFont="1" applyBorder="1" applyAlignment="1">
      <alignment horizontal="left" vertical="top" wrapText="1"/>
    </xf>
    <xf numFmtId="0" fontId="16" fillId="0" borderId="66" xfId="11" applyFont="1" applyBorder="1" applyAlignment="1">
      <alignment horizontal="left" vertical="top"/>
    </xf>
    <xf numFmtId="0" fontId="9" fillId="5" borderId="24" xfId="11" applyFont="1" applyFill="1" applyBorder="1" applyAlignment="1">
      <alignment horizontal="left" vertical="top" wrapText="1"/>
    </xf>
    <xf numFmtId="0" fontId="0" fillId="0" borderId="25" xfId="0" applyBorder="1" applyAlignment="1">
      <alignment horizontal="left" vertical="top"/>
    </xf>
    <xf numFmtId="0" fontId="22" fillId="4" borderId="0" xfId="11" applyFont="1" applyFill="1" applyAlignment="1">
      <alignment horizontal="left" vertical="top"/>
    </xf>
    <xf numFmtId="0" fontId="22" fillId="4" borderId="65" xfId="11" quotePrefix="1" applyFont="1" applyFill="1" applyBorder="1" applyAlignment="1">
      <alignment horizontal="left" vertical="top"/>
    </xf>
    <xf numFmtId="0" fontId="22" fillId="4" borderId="65" xfId="11" applyFont="1" applyFill="1" applyBorder="1" applyAlignment="1">
      <alignment horizontal="left" vertical="top"/>
    </xf>
    <xf numFmtId="0" fontId="9" fillId="4" borderId="24" xfId="11" applyFont="1" applyFill="1" applyBorder="1" applyAlignment="1">
      <alignment horizontal="left" vertical="top" wrapText="1"/>
    </xf>
    <xf numFmtId="0" fontId="0" fillId="0" borderId="28" xfId="0" applyBorder="1" applyAlignment="1">
      <alignment horizontal="left" vertical="top" wrapText="1"/>
    </xf>
    <xf numFmtId="0" fontId="9" fillId="4" borderId="38" xfId="11" applyFont="1" applyFill="1" applyBorder="1" applyAlignment="1">
      <alignment horizontal="left" vertical="top" wrapText="1"/>
    </xf>
    <xf numFmtId="0" fontId="0" fillId="0" borderId="39" xfId="0" applyBorder="1" applyAlignment="1">
      <alignment horizontal="left" vertical="top" wrapText="1"/>
    </xf>
    <xf numFmtId="0" fontId="9" fillId="4" borderId="28" xfId="11" applyFont="1" applyFill="1"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0" fillId="0" borderId="20" xfId="0" applyBorder="1" applyAlignment="1">
      <alignment horizontal="left" vertical="top" wrapText="1"/>
    </xf>
    <xf numFmtId="0" fontId="7" fillId="5" borderId="24" xfId="0" applyFont="1" applyFill="1"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13" fillId="0" borderId="12" xfId="0" applyFont="1" applyBorder="1" applyAlignment="1">
      <alignment horizontal="left" vertical="top" wrapText="1"/>
    </xf>
    <xf numFmtId="0" fontId="0" fillId="0" borderId="30" xfId="0" applyBorder="1" applyAlignment="1">
      <alignment horizontal="left" vertical="top" wrapText="1"/>
    </xf>
    <xf numFmtId="0" fontId="23" fillId="0" borderId="50" xfId="19" applyBorder="1">
      <alignment horizontal="left" vertical="top" wrapText="1"/>
    </xf>
    <xf numFmtId="0" fontId="0" fillId="0" borderId="51" xfId="0" applyBorder="1" applyAlignment="1">
      <alignment horizontal="left" vertical="top" wrapText="1"/>
    </xf>
    <xf numFmtId="0" fontId="0" fillId="0" borderId="17" xfId="0" applyBorder="1" applyAlignment="1">
      <alignment horizontal="left" vertical="top" wrapText="1"/>
    </xf>
    <xf numFmtId="0" fontId="0" fillId="4" borderId="47" xfId="0" applyFill="1"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0" fillId="4" borderId="21" xfId="0" applyFill="1" applyBorder="1" applyAlignment="1">
      <alignment horizontal="left" vertical="top"/>
    </xf>
    <xf numFmtId="0" fontId="0" fillId="0" borderId="24" xfId="0" quotePrefix="1" applyBorder="1" applyAlignment="1">
      <alignment horizontal="left" vertical="top" wrapText="1"/>
    </xf>
    <xf numFmtId="0" fontId="0" fillId="0" borderId="28" xfId="0" applyBorder="1" applyAlignment="1">
      <alignment horizontal="left" vertical="top"/>
    </xf>
    <xf numFmtId="0" fontId="0" fillId="0" borderId="66" xfId="0" applyBorder="1" applyAlignment="1">
      <alignment horizontal="left" vertical="top"/>
    </xf>
    <xf numFmtId="0" fontId="13" fillId="0" borderId="41" xfId="0" applyFont="1" applyBorder="1" applyAlignment="1">
      <alignment horizontal="left" vertical="top" wrapText="1"/>
    </xf>
    <xf numFmtId="0" fontId="0" fillId="0" borderId="42"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2" fillId="0" borderId="24" xfId="0" applyFont="1" applyBorder="1" applyAlignment="1">
      <alignment horizontal="left" vertical="top" wrapText="1"/>
    </xf>
    <xf numFmtId="0" fontId="13" fillId="0" borderId="11" xfId="0" applyFont="1" applyBorder="1" applyAlignment="1">
      <alignment horizontal="left" vertical="top" wrapText="1"/>
    </xf>
    <xf numFmtId="0" fontId="23" fillId="0" borderId="54" xfId="19" applyBorder="1">
      <alignment horizontal="left" vertical="top" wrapText="1"/>
    </xf>
    <xf numFmtId="0" fontId="38" fillId="0" borderId="0" xfId="10" applyBorder="1" applyAlignment="1">
      <alignment horizontal="left" vertical="top"/>
    </xf>
    <xf numFmtId="0" fontId="0" fillId="0" borderId="11" xfId="0" applyBorder="1"/>
    <xf numFmtId="0" fontId="0" fillId="0" borderId="12" xfId="0" applyBorder="1"/>
    <xf numFmtId="0" fontId="7" fillId="5" borderId="28" xfId="0" applyFont="1" applyFill="1" applyBorder="1" applyAlignment="1">
      <alignment horizontal="center" vertical="center"/>
    </xf>
    <xf numFmtId="0" fontId="0" fillId="0" borderId="28" xfId="0" applyBorder="1"/>
    <xf numFmtId="0" fontId="0" fillId="0" borderId="38" xfId="0" applyBorder="1" applyAlignment="1">
      <alignment horizontal="left" vertical="top" wrapText="1"/>
    </xf>
    <xf numFmtId="0" fontId="0" fillId="0" borderId="41" xfId="0" applyBorder="1" applyAlignment="1">
      <alignment horizontal="left" vertical="top" wrapText="1"/>
    </xf>
    <xf numFmtId="0" fontId="0" fillId="0" borderId="148" xfId="0" applyBorder="1" applyAlignment="1">
      <alignment horizontal="left" vertical="top" wrapText="1"/>
    </xf>
    <xf numFmtId="0" fontId="0" fillId="0" borderId="149" xfId="0" applyBorder="1" applyAlignment="1">
      <alignment horizontal="left" vertical="top" wrapText="1"/>
    </xf>
    <xf numFmtId="0" fontId="0" fillId="0" borderId="150" xfId="0" applyBorder="1" applyAlignment="1">
      <alignment horizontal="left" vertical="top" wrapText="1"/>
    </xf>
    <xf numFmtId="0" fontId="0" fillId="0" borderId="40" xfId="0" applyBorder="1"/>
    <xf numFmtId="0" fontId="0" fillId="0" borderId="41" xfId="0" applyBorder="1"/>
    <xf numFmtId="0" fontId="9" fillId="0" borderId="54" xfId="0" applyFont="1" applyBorder="1" applyAlignment="1">
      <alignment horizontal="left" vertical="top" wrapText="1"/>
    </xf>
    <xf numFmtId="0" fontId="0" fillId="0" borderId="50" xfId="0" applyBorder="1"/>
    <xf numFmtId="0" fontId="0" fillId="0" borderId="71" xfId="0" applyBorder="1"/>
    <xf numFmtId="0" fontId="0" fillId="0" borderId="76" xfId="0" applyBorder="1"/>
    <xf numFmtId="0" fontId="38" fillId="0" borderId="0" xfId="10" applyAlignment="1">
      <alignment horizontal="left" vertical="top"/>
    </xf>
    <xf numFmtId="0" fontId="0" fillId="4" borderId="89" xfId="0" applyFill="1" applyBorder="1" applyAlignment="1">
      <alignment horizontal="left" vertical="top" wrapText="1"/>
    </xf>
    <xf numFmtId="0" fontId="0" fillId="0" borderId="89" xfId="0" applyBorder="1" applyAlignment="1">
      <alignment horizontal="left" vertical="top" wrapText="1"/>
    </xf>
    <xf numFmtId="0" fontId="0" fillId="0" borderId="90" xfId="0" applyBorder="1" applyAlignment="1">
      <alignment horizontal="left" vertical="top" wrapText="1"/>
    </xf>
    <xf numFmtId="0" fontId="0" fillId="4" borderId="151" xfId="0" applyFill="1" applyBorder="1" applyAlignment="1">
      <alignment horizontal="left" vertical="top" wrapText="1"/>
    </xf>
    <xf numFmtId="0" fontId="0" fillId="0" borderId="152" xfId="0" applyBorder="1" applyAlignment="1">
      <alignment horizontal="left" vertical="top" wrapText="1"/>
    </xf>
    <xf numFmtId="0" fontId="0" fillId="0" borderId="153" xfId="0" applyBorder="1" applyAlignment="1">
      <alignment horizontal="left" vertical="top" wrapText="1"/>
    </xf>
    <xf numFmtId="0" fontId="38" fillId="0" borderId="0" xfId="10" applyFill="1" applyBorder="1" applyAlignment="1" applyProtection="1">
      <alignment horizontal="left" vertical="top"/>
    </xf>
    <xf numFmtId="0" fontId="2" fillId="4" borderId="82" xfId="11" applyFont="1" applyFill="1" applyBorder="1" applyAlignment="1">
      <alignment horizontal="left" vertical="top" wrapText="1"/>
    </xf>
    <xf numFmtId="0" fontId="0" fillId="0" borderId="83" xfId="0" applyBorder="1" applyAlignment="1">
      <alignment horizontal="left" vertical="top" wrapText="1"/>
    </xf>
    <xf numFmtId="0" fontId="0" fillId="0" borderId="84" xfId="0" applyBorder="1" applyAlignment="1">
      <alignment horizontal="left" vertical="top" wrapText="1"/>
    </xf>
    <xf numFmtId="0" fontId="0" fillId="4" borderId="82" xfId="11" applyFont="1" applyFill="1" applyBorder="1" applyAlignment="1">
      <alignment horizontal="left" vertical="top" wrapText="1"/>
    </xf>
    <xf numFmtId="0" fontId="9" fillId="4" borderId="85" xfId="11" applyFont="1" applyFill="1" applyBorder="1" applyAlignment="1">
      <alignment horizontal="left" vertical="top" wrapText="1"/>
    </xf>
    <xf numFmtId="0" fontId="0" fillId="0" borderId="12" xfId="0" applyBorder="1" applyAlignment="1">
      <alignment horizontal="left" vertical="top" wrapText="1"/>
    </xf>
    <xf numFmtId="0" fontId="0" fillId="0" borderId="91" xfId="0" applyBorder="1" applyAlignment="1">
      <alignment horizontal="left" vertical="top" wrapText="1"/>
    </xf>
    <xf numFmtId="0" fontId="9" fillId="4" borderId="103" xfId="11" applyFont="1" applyFill="1" applyBorder="1" applyAlignment="1">
      <alignment horizontal="left" vertical="top" wrapText="1"/>
    </xf>
    <xf numFmtId="0" fontId="0" fillId="0" borderId="100" xfId="0" applyBorder="1" applyAlignment="1">
      <alignment horizontal="left" vertical="top" wrapText="1"/>
    </xf>
    <xf numFmtId="0" fontId="0" fillId="0" borderId="104" xfId="0" applyBorder="1" applyAlignment="1">
      <alignment horizontal="left" vertical="top" wrapText="1"/>
    </xf>
    <xf numFmtId="0" fontId="16" fillId="0" borderId="0" xfId="11" quotePrefix="1" applyFont="1" applyAlignment="1">
      <alignment horizontal="left" vertical="top"/>
    </xf>
    <xf numFmtId="0" fontId="52" fillId="0" borderId="11" xfId="0" applyFont="1" applyBorder="1"/>
    <xf numFmtId="0" fontId="52" fillId="0" borderId="30" xfId="0" applyFont="1" applyBorder="1"/>
    <xf numFmtId="0" fontId="52" fillId="0" borderId="40" xfId="0" applyFont="1" applyBorder="1"/>
    <xf numFmtId="0" fontId="0" fillId="0" borderId="42" xfId="0" applyBorder="1"/>
    <xf numFmtId="0" fontId="23" fillId="4" borderId="156" xfId="11" applyFont="1" applyFill="1" applyBorder="1" applyAlignment="1">
      <alignment horizontal="left" vertical="top" wrapText="1"/>
    </xf>
    <xf numFmtId="0" fontId="0" fillId="0" borderId="154" xfId="0" applyBorder="1" applyAlignment="1">
      <alignment horizontal="left" vertical="top" wrapText="1"/>
    </xf>
    <xf numFmtId="0" fontId="0" fillId="0" borderId="157" xfId="0" applyBorder="1" applyAlignment="1">
      <alignment horizontal="left" vertical="top" wrapText="1"/>
    </xf>
    <xf numFmtId="0" fontId="2" fillId="0" borderId="16" xfId="11" applyFont="1" applyBorder="1" applyAlignment="1">
      <alignment horizontal="left" vertical="top" wrapText="1"/>
    </xf>
    <xf numFmtId="0" fontId="2" fillId="0" borderId="65" xfId="11" applyFont="1" applyBorder="1" applyAlignment="1">
      <alignment horizontal="left" vertical="top" wrapText="1"/>
    </xf>
    <xf numFmtId="0" fontId="2" fillId="0" borderId="17" xfId="11" applyFont="1" applyBorder="1" applyAlignment="1">
      <alignment horizontal="left" vertical="top" wrapText="1"/>
    </xf>
    <xf numFmtId="0" fontId="38" fillId="0" borderId="18" xfId="10" applyFill="1" applyBorder="1" applyAlignment="1">
      <alignment horizontal="left" vertical="top" wrapText="1"/>
    </xf>
    <xf numFmtId="0" fontId="38" fillId="0" borderId="66" xfId="10" applyFill="1" applyBorder="1" applyAlignment="1">
      <alignment horizontal="left" vertical="top" wrapText="1"/>
    </xf>
    <xf numFmtId="0" fontId="38" fillId="0" borderId="19" xfId="10" applyFill="1" applyBorder="1" applyAlignment="1">
      <alignment horizontal="left" vertical="top" wrapText="1"/>
    </xf>
    <xf numFmtId="0" fontId="14" fillId="5" borderId="24" xfId="11" applyFont="1" applyFill="1" applyBorder="1" applyAlignment="1">
      <alignment horizontal="center" vertical="center"/>
    </xf>
    <xf numFmtId="0" fontId="2" fillId="4" borderId="4" xfId="11"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20" fillId="0" borderId="16" xfId="11" applyFont="1" applyBorder="1" applyAlignment="1">
      <alignment horizontal="left" vertical="top" wrapText="1"/>
    </xf>
    <xf numFmtId="0" fontId="20" fillId="0" borderId="65" xfId="0" applyFont="1" applyBorder="1" applyAlignment="1">
      <alignment horizontal="left" vertical="top" wrapText="1"/>
    </xf>
    <xf numFmtId="0" fontId="20" fillId="0" borderId="17" xfId="0" applyFont="1" applyBorder="1" applyAlignment="1">
      <alignment horizontal="left" vertical="top" wrapText="1"/>
    </xf>
    <xf numFmtId="0" fontId="34" fillId="4" borderId="21" xfId="12" applyFont="1" applyFill="1" applyBorder="1" applyAlignment="1" applyProtection="1">
      <alignment horizontal="left" vertical="top" wrapText="1"/>
    </xf>
    <xf numFmtId="0" fontId="20" fillId="0" borderId="18" xfId="11" applyFont="1" applyBorder="1" applyAlignment="1">
      <alignment horizontal="left" vertical="top" wrapText="1"/>
    </xf>
    <xf numFmtId="0" fontId="2" fillId="4" borderId="85" xfId="11" applyFont="1" applyFill="1" applyBorder="1" applyAlignment="1">
      <alignment horizontal="left" vertical="top" wrapText="1"/>
    </xf>
    <xf numFmtId="0" fontId="16" fillId="0" borderId="0" xfId="0" applyFont="1" applyAlignment="1">
      <alignment horizontal="left" vertical="top"/>
    </xf>
    <xf numFmtId="0" fontId="7" fillId="5" borderId="25" xfId="0" applyFont="1" applyFill="1" applyBorder="1" applyAlignment="1">
      <alignment horizontal="center" vertical="center"/>
    </xf>
    <xf numFmtId="0" fontId="0" fillId="0" borderId="16" xfId="0" applyBorder="1" applyAlignment="1">
      <alignment horizontal="left" vertical="top" wrapText="1"/>
    </xf>
    <xf numFmtId="0" fontId="28" fillId="0" borderId="28" xfId="0" quotePrefix="1" applyFont="1" applyBorder="1" applyAlignment="1">
      <alignment horizontal="left" vertical="top"/>
    </xf>
    <xf numFmtId="0" fontId="28" fillId="0" borderId="28" xfId="0" applyFont="1" applyBorder="1" applyAlignment="1">
      <alignment horizontal="left" vertical="top"/>
    </xf>
    <xf numFmtId="0" fontId="16" fillId="0" borderId="65" xfId="0" quotePrefix="1" applyFont="1" applyBorder="1" applyAlignment="1">
      <alignment horizontal="left" vertical="top"/>
    </xf>
    <xf numFmtId="0" fontId="16" fillId="0" borderId="65" xfId="0" applyFont="1" applyBorder="1" applyAlignment="1">
      <alignment horizontal="left" vertical="top"/>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1" xfId="0" applyFont="1" applyBorder="1" applyAlignment="1">
      <alignment horizontal="left" vertical="top" wrapText="1"/>
    </xf>
    <xf numFmtId="0" fontId="0" fillId="0" borderId="29" xfId="0" applyBorder="1" applyAlignment="1">
      <alignment horizontal="left" vertical="top" wrapText="1"/>
    </xf>
    <xf numFmtId="0" fontId="9" fillId="0" borderId="49" xfId="0" applyFont="1" applyBorder="1" applyAlignment="1">
      <alignment horizontal="left" vertical="top" wrapText="1"/>
    </xf>
    <xf numFmtId="0" fontId="9" fillId="0" borderId="50"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0" fillId="3" borderId="11"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0" borderId="11" xfId="0" applyBorder="1" applyAlignment="1">
      <alignment horizontal="left" vertical="top" wrapText="1"/>
    </xf>
    <xf numFmtId="0" fontId="38" fillId="0" borderId="0" xfId="10" applyAlignment="1"/>
    <xf numFmtId="0" fontId="0" fillId="0" borderId="0" xfId="0"/>
    <xf numFmtId="0" fontId="9" fillId="5" borderId="24" xfId="0" applyFont="1" applyFill="1" applyBorder="1"/>
    <xf numFmtId="0" fontId="9" fillId="5" borderId="25" xfId="0" applyFont="1" applyFill="1" applyBorder="1"/>
    <xf numFmtId="0" fontId="9" fillId="5" borderId="16" xfId="0" applyFont="1" applyFill="1" applyBorder="1"/>
    <xf numFmtId="0" fontId="9" fillId="5" borderId="65" xfId="0" applyFont="1" applyFill="1" applyBorder="1"/>
    <xf numFmtId="0" fontId="7" fillId="5" borderId="16" xfId="0" applyFont="1" applyFill="1" applyBorder="1" applyAlignment="1">
      <alignment horizontal="center" vertical="center"/>
    </xf>
    <xf numFmtId="0" fontId="7" fillId="5" borderId="65" xfId="0" applyFont="1" applyFill="1" applyBorder="1" applyAlignment="1">
      <alignment horizontal="center" vertical="center"/>
    </xf>
    <xf numFmtId="0" fontId="7" fillId="5" borderId="17" xfId="0" applyFont="1" applyFill="1" applyBorder="1" applyAlignment="1">
      <alignment horizontal="center" vertical="center"/>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64" xfId="0" applyBorder="1" applyAlignment="1">
      <alignment horizontal="left" vertical="top" wrapText="1"/>
    </xf>
    <xf numFmtId="0" fontId="0" fillId="0" borderId="52" xfId="0" applyBorder="1" applyAlignment="1">
      <alignment horizontal="left" vertical="top" wrapText="1"/>
    </xf>
    <xf numFmtId="0" fontId="38" fillId="0" borderId="70" xfId="10" applyBorder="1" applyAlignment="1">
      <alignment horizontal="left" vertical="top" wrapText="1"/>
    </xf>
    <xf numFmtId="0" fontId="0" fillId="0" borderId="71" xfId="0" applyBorder="1" applyAlignment="1">
      <alignment horizontal="left" vertical="top" wrapText="1"/>
    </xf>
    <xf numFmtId="0" fontId="0" fillId="0" borderId="22" xfId="0" applyBorder="1" applyAlignment="1">
      <alignment horizontal="left" vertical="top" wrapText="1"/>
    </xf>
    <xf numFmtId="0" fontId="0" fillId="0" borderId="40" xfId="0" applyBorder="1" applyAlignment="1">
      <alignment horizontal="left" vertical="top" wrapText="1"/>
    </xf>
    <xf numFmtId="0" fontId="3" fillId="4" borderId="11" xfId="0" applyFont="1" applyFill="1" applyBorder="1" applyAlignment="1">
      <alignment horizontal="left" vertical="top" wrapText="1"/>
    </xf>
    <xf numFmtId="0" fontId="3" fillId="4" borderId="30" xfId="0" applyFont="1" applyFill="1" applyBorder="1" applyAlignment="1">
      <alignment horizontal="left" vertical="top" wrapText="1"/>
    </xf>
    <xf numFmtId="0" fontId="3" fillId="4" borderId="29" xfId="0" applyFont="1" applyFill="1" applyBorder="1" applyAlignment="1">
      <alignment horizontal="left" vertical="top" wrapText="1"/>
    </xf>
    <xf numFmtId="0" fontId="3" fillId="4" borderId="15"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30"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3" xfId="0" applyFont="1" applyFill="1" applyBorder="1" applyAlignment="1">
      <alignment horizontal="left" vertical="top" wrapText="1"/>
    </xf>
    <xf numFmtId="0" fontId="19" fillId="4" borderId="3" xfId="0" applyFont="1" applyFill="1" applyBorder="1" applyAlignment="1">
      <alignment horizontal="left" vertical="top" wrapText="1"/>
    </xf>
    <xf numFmtId="0" fontId="19" fillId="4" borderId="2" xfId="0" applyFont="1" applyFill="1" applyBorder="1" applyAlignment="1">
      <alignment horizontal="left" vertical="top" wrapText="1"/>
    </xf>
    <xf numFmtId="0" fontId="19"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0"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9" fillId="5" borderId="16" xfId="0" applyFont="1" applyFill="1" applyBorder="1" applyAlignment="1">
      <alignment horizontal="left" vertical="top"/>
    </xf>
    <xf numFmtId="0" fontId="9" fillId="5" borderId="65" xfId="0" applyFont="1" applyFill="1" applyBorder="1" applyAlignment="1">
      <alignment horizontal="left" vertical="top"/>
    </xf>
    <xf numFmtId="0" fontId="9" fillId="5" borderId="17" xfId="0" applyFont="1" applyFill="1" applyBorder="1" applyAlignment="1">
      <alignment horizontal="left" vertical="top"/>
    </xf>
    <xf numFmtId="0" fontId="9" fillId="5" borderId="24" xfId="0" applyFont="1" applyFill="1" applyBorder="1" applyAlignment="1">
      <alignment horizontal="left" vertical="top" wrapText="1"/>
    </xf>
    <xf numFmtId="0" fontId="9" fillId="5" borderId="28" xfId="0" applyFont="1" applyFill="1" applyBorder="1" applyAlignment="1">
      <alignment horizontal="left" vertical="top" wrapText="1"/>
    </xf>
    <xf numFmtId="0" fontId="9" fillId="5" borderId="25" xfId="0" applyFont="1" applyFill="1" applyBorder="1" applyAlignment="1">
      <alignment horizontal="left" vertical="top" wrapText="1"/>
    </xf>
    <xf numFmtId="0" fontId="28" fillId="4" borderId="28" xfId="0" applyFont="1" applyFill="1" applyBorder="1" applyAlignment="1">
      <alignment horizontal="left" vertical="top" wrapText="1"/>
    </xf>
    <xf numFmtId="0" fontId="28" fillId="4" borderId="55" xfId="0" applyFont="1" applyFill="1" applyBorder="1" applyAlignment="1">
      <alignment horizontal="left" vertical="top" wrapText="1"/>
    </xf>
    <xf numFmtId="0" fontId="28" fillId="4" borderId="0" xfId="0" applyFont="1" applyFill="1" applyAlignment="1">
      <alignment horizontal="left" vertical="top" wrapText="1"/>
    </xf>
    <xf numFmtId="0" fontId="0" fillId="4" borderId="32" xfId="0" applyFill="1" applyBorder="1" applyAlignment="1">
      <alignment horizontal="left" vertical="top"/>
    </xf>
    <xf numFmtId="0" fontId="0" fillId="4" borderId="33" xfId="0" applyFill="1" applyBorder="1" applyAlignment="1">
      <alignment horizontal="left" vertical="top"/>
    </xf>
    <xf numFmtId="0" fontId="0" fillId="4" borderId="18" xfId="0" applyFill="1" applyBorder="1" applyAlignment="1">
      <alignment horizontal="left" vertical="top" wrapText="1"/>
    </xf>
    <xf numFmtId="0" fontId="0" fillId="4" borderId="65" xfId="0" applyFill="1" applyBorder="1" applyAlignment="1">
      <alignment horizontal="left" vertical="top" wrapText="1"/>
    </xf>
    <xf numFmtId="0" fontId="0" fillId="4" borderId="17" xfId="0" applyFill="1" applyBorder="1" applyAlignment="1">
      <alignment horizontal="left" vertical="top" wrapText="1"/>
    </xf>
    <xf numFmtId="0" fontId="5" fillId="4" borderId="2" xfId="0" applyFont="1" applyFill="1" applyBorder="1" applyAlignment="1">
      <alignment horizontal="left" vertical="top" wrapText="1"/>
    </xf>
    <xf numFmtId="0" fontId="5" fillId="4" borderId="7" xfId="0" applyFont="1" applyFill="1" applyBorder="1" applyAlignment="1">
      <alignment horizontal="left" vertical="top" wrapText="1"/>
    </xf>
    <xf numFmtId="0" fontId="38" fillId="4" borderId="21" xfId="10" applyFill="1" applyBorder="1" applyAlignment="1">
      <alignment horizontal="left" vertical="top" wrapText="1"/>
    </xf>
    <xf numFmtId="0" fontId="0" fillId="4" borderId="118" xfId="0" applyFill="1" applyBorder="1" applyAlignment="1">
      <alignment horizontal="left" vertical="top" wrapText="1"/>
    </xf>
    <xf numFmtId="0" fontId="0" fillId="4" borderId="119" xfId="0" applyFill="1" applyBorder="1" applyAlignment="1">
      <alignment horizontal="left" vertical="top" wrapText="1"/>
    </xf>
    <xf numFmtId="0" fontId="0" fillId="4" borderId="120" xfId="0" applyFill="1" applyBorder="1" applyAlignment="1">
      <alignment horizontal="left" vertical="top" wrapText="1"/>
    </xf>
    <xf numFmtId="0" fontId="7" fillId="5" borderId="24" xfId="11" applyFont="1" applyFill="1" applyBorder="1" applyAlignment="1">
      <alignment horizontal="center" vertical="center" wrapText="1"/>
    </xf>
    <xf numFmtId="0" fontId="7" fillId="5" borderId="28" xfId="11" applyFont="1" applyFill="1" applyBorder="1" applyAlignment="1">
      <alignment horizontal="center" vertical="center" wrapText="1"/>
    </xf>
    <xf numFmtId="0" fontId="7" fillId="5" borderId="25" xfId="11" applyFont="1" applyFill="1" applyBorder="1" applyAlignment="1">
      <alignment horizontal="center" vertical="center" wrapText="1"/>
    </xf>
    <xf numFmtId="0" fontId="0" fillId="4" borderId="65" xfId="11" applyFont="1" applyFill="1" applyBorder="1" applyAlignment="1">
      <alignment horizontal="left" vertical="top" wrapText="1"/>
    </xf>
    <xf numFmtId="0" fontId="0" fillId="4" borderId="17" xfId="11" applyFont="1" applyFill="1" applyBorder="1" applyAlignment="1">
      <alignment horizontal="left" vertical="top" wrapText="1"/>
    </xf>
    <xf numFmtId="0" fontId="9" fillId="5" borderId="88" xfId="0" applyFont="1" applyFill="1" applyBorder="1" applyAlignment="1">
      <alignment horizontal="left" vertical="top" wrapText="1"/>
    </xf>
    <xf numFmtId="0" fontId="9" fillId="5" borderId="89" xfId="0" applyFont="1" applyFill="1" applyBorder="1" applyAlignment="1">
      <alignment horizontal="left" vertical="top" wrapText="1"/>
    </xf>
    <xf numFmtId="0" fontId="9" fillId="5" borderId="90" xfId="0" applyFont="1" applyFill="1" applyBorder="1" applyAlignment="1">
      <alignment horizontal="left" vertical="top" wrapText="1"/>
    </xf>
    <xf numFmtId="0" fontId="28" fillId="0" borderId="65" xfId="0" applyFont="1" applyBorder="1" applyAlignment="1">
      <alignment horizontal="left" vertical="top"/>
    </xf>
    <xf numFmtId="0" fontId="9" fillId="3" borderId="38" xfId="0" applyFont="1" applyFill="1" applyBorder="1" applyAlignment="1" applyProtection="1">
      <alignment horizontal="left" vertical="top" wrapText="1"/>
      <protection locked="0"/>
    </xf>
    <xf numFmtId="0" fontId="9" fillId="3" borderId="42" xfId="0" applyFont="1" applyFill="1" applyBorder="1" applyAlignment="1" applyProtection="1">
      <alignment horizontal="left" vertical="top" wrapText="1"/>
      <protection locked="0"/>
    </xf>
    <xf numFmtId="0" fontId="9" fillId="0" borderId="21" xfId="0" applyFont="1" applyBorder="1" applyAlignment="1">
      <alignment horizontal="left" vertical="top" wrapText="1"/>
    </xf>
    <xf numFmtId="0" fontId="9" fillId="0" borderId="20" xfId="0" applyFont="1" applyBorder="1" applyAlignment="1">
      <alignment horizontal="left" vertical="top" wrapText="1"/>
    </xf>
    <xf numFmtId="49" fontId="9" fillId="5" borderId="24" xfId="0" applyNumberFormat="1" applyFont="1" applyFill="1" applyBorder="1" applyAlignment="1">
      <alignment horizontal="left" vertical="top" wrapText="1"/>
    </xf>
    <xf numFmtId="49" fontId="9" fillId="5" borderId="25" xfId="0" applyNumberFormat="1" applyFont="1" applyFill="1" applyBorder="1" applyAlignment="1">
      <alignment horizontal="left" vertical="top" wrapText="1"/>
    </xf>
    <xf numFmtId="0" fontId="7" fillId="5" borderId="24" xfId="0" applyFont="1" applyFill="1" applyBorder="1" applyAlignment="1">
      <alignment horizontal="center"/>
    </xf>
    <xf numFmtId="0" fontId="7" fillId="5" borderId="28" xfId="0" applyFont="1" applyFill="1" applyBorder="1" applyAlignment="1">
      <alignment horizontal="center"/>
    </xf>
    <xf numFmtId="0" fontId="7" fillId="5" borderId="25" xfId="0" applyFont="1" applyFill="1" applyBorder="1" applyAlignment="1">
      <alignment horizontal="center"/>
    </xf>
    <xf numFmtId="0" fontId="0" fillId="0" borderId="24" xfId="0" applyBorder="1" applyAlignment="1">
      <alignment horizontal="left" vertical="top"/>
    </xf>
    <xf numFmtId="0" fontId="9" fillId="5" borderId="16" xfId="0" applyFont="1" applyFill="1" applyBorder="1" applyAlignment="1">
      <alignment horizontal="left" vertical="top" wrapText="1"/>
    </xf>
    <xf numFmtId="0" fontId="9" fillId="5" borderId="65" xfId="0" applyFont="1" applyFill="1" applyBorder="1" applyAlignment="1">
      <alignment horizontal="left" vertical="top" wrapText="1"/>
    </xf>
    <xf numFmtId="0" fontId="9" fillId="5" borderId="17"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14" xfId="0" applyFont="1" applyFill="1" applyBorder="1" applyAlignment="1">
      <alignment horizontal="left" vertical="top" wrapText="1"/>
    </xf>
    <xf numFmtId="0" fontId="27" fillId="0" borderId="24"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5" xfId="0" applyFont="1" applyBorder="1" applyAlignment="1">
      <alignment horizontal="center" vertical="center" wrapText="1"/>
    </xf>
    <xf numFmtId="0" fontId="35" fillId="0" borderId="65" xfId="0" quotePrefix="1" applyFont="1" applyBorder="1" applyAlignment="1">
      <alignment horizontal="left" vertical="top"/>
    </xf>
    <xf numFmtId="0" fontId="35" fillId="0" borderId="65" xfId="0" applyFont="1" applyBorder="1" applyAlignment="1">
      <alignment horizontal="left" vertical="top"/>
    </xf>
    <xf numFmtId="0" fontId="38" fillId="0" borderId="0" xfId="10" applyBorder="1" applyAlignment="1">
      <alignment horizontal="left" vertical="top" wrapText="1"/>
    </xf>
    <xf numFmtId="0" fontId="35" fillId="0" borderId="0" xfId="0" applyFont="1" applyAlignment="1">
      <alignment horizontal="left" vertical="top"/>
    </xf>
    <xf numFmtId="0" fontId="32" fillId="16" borderId="16" xfId="0" applyFont="1" applyFill="1" applyBorder="1" applyProtection="1">
      <protection locked="0"/>
    </xf>
    <xf numFmtId="0" fontId="32" fillId="16" borderId="65" xfId="0" applyFont="1" applyFill="1" applyBorder="1" applyProtection="1">
      <protection locked="0"/>
    </xf>
    <xf numFmtId="0" fontId="32" fillId="16" borderId="17" xfId="0" applyFont="1" applyFill="1" applyBorder="1" applyProtection="1">
      <protection locked="0"/>
    </xf>
    <xf numFmtId="0" fontId="30" fillId="16" borderId="18" xfId="0" applyFont="1" applyFill="1" applyBorder="1" applyAlignment="1" applyProtection="1">
      <alignment horizontal="center"/>
      <protection locked="0"/>
    </xf>
    <xf numFmtId="0" fontId="30" fillId="16" borderId="66" xfId="0" applyFont="1" applyFill="1" applyBorder="1" applyAlignment="1" applyProtection="1">
      <alignment horizontal="center"/>
      <protection locked="0"/>
    </xf>
    <xf numFmtId="0" fontId="30" fillId="16" borderId="19" xfId="0" applyFont="1" applyFill="1" applyBorder="1" applyAlignment="1" applyProtection="1">
      <alignment horizontal="center"/>
      <protection locked="0"/>
    </xf>
    <xf numFmtId="0" fontId="14" fillId="5" borderId="24"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5" xfId="0" applyBorder="1" applyAlignment="1">
      <alignment horizontal="center" vertical="center" wrapText="1"/>
    </xf>
  </cellXfs>
  <cellStyles count="23">
    <cellStyle name="Currency 2" xfId="13" xr:uid="{A8EB62AB-E086-4C7E-A611-3E0CFF6A25FC}"/>
    <cellStyle name="Hyperlink" xfId="10" builtinId="8" customBuiltin="1"/>
    <cellStyle name="Hyperlink 2" xfId="8" xr:uid="{00000000-0005-0000-0000-000000000000}"/>
    <cellStyle name="Hyperlink 3" xfId="12" xr:uid="{D620E41B-5051-4782-B7C5-96FE2459AF4E}"/>
    <cellStyle name="InputCell" xfId="20" xr:uid="{6295CF15-3651-4FD8-8BAD-5539E318F73A}"/>
    <cellStyle name="Normal" xfId="0" builtinId="0" customBuiltin="1"/>
    <cellStyle name="Normal 2" xfId="2" xr:uid="{00000000-0005-0000-0000-000002000000}"/>
    <cellStyle name="Normal 2 2" xfId="5" xr:uid="{00000000-0005-0000-0000-000003000000}"/>
    <cellStyle name="Normal 3" xfId="4" xr:uid="{00000000-0005-0000-0000-000004000000}"/>
    <cellStyle name="Normal 3 2" xfId="14" xr:uid="{F629D7A4-DC71-4BC1-9989-C71247EA4CB2}"/>
    <cellStyle name="Normal 4" xfId="7" xr:uid="{00000000-0005-0000-0000-000005000000}"/>
    <cellStyle name="Normal 4 2" xfId="17" xr:uid="{EB6CC958-B976-4902-847C-EEA44B745CCB}"/>
    <cellStyle name="Normal 5" xfId="1" xr:uid="{00000000-0005-0000-0000-000006000000}"/>
    <cellStyle name="Normal 5 2" xfId="9" xr:uid="{00000000-0005-0000-0000-000007000000}"/>
    <cellStyle name="Normal 6" xfId="11" xr:uid="{5D0122C3-2714-4AA9-80E1-9BA4BE48D2FF}"/>
    <cellStyle name="Normal 6 2" xfId="15" xr:uid="{84BD1E15-2B9C-4F5E-A472-9A5300A00220}"/>
    <cellStyle name="Normal 7" xfId="16" xr:uid="{2CFA6050-8127-4DC0-B8EA-842A3F54894F}"/>
    <cellStyle name="Normal 7 2" xfId="18" xr:uid="{937C6640-2E4F-4F12-991C-E53AC935BA3C}"/>
    <cellStyle name="Note 2" xfId="3" xr:uid="{00000000-0005-0000-0000-000008000000}"/>
    <cellStyle name="Note 2 2" xfId="6" xr:uid="{00000000-0005-0000-0000-000009000000}"/>
    <cellStyle name="Section Title" xfId="22" xr:uid="{CBDA414A-B482-4FF1-8809-AB5A5F892E8F}"/>
    <cellStyle name="Sheet Title" xfId="21" xr:uid="{E5D2BF72-1CBF-4ABA-A861-3BC6D69E42F1}"/>
    <cellStyle name="TableHeader" xfId="19" xr:uid="{B2C24E48-F83F-4543-B31E-A3665EB48006}"/>
  </cellStyles>
  <dxfs count="648">
    <dxf>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5" tint="0.59996337778862885"/>
        </patternFill>
      </fill>
    </dxf>
    <dxf>
      <fill>
        <patternFill>
          <bgColor theme="5" tint="0.59996337778862885"/>
        </patternFill>
      </fill>
    </dxf>
    <dxf>
      <font>
        <color theme="0" tint="-0.24994659260841701"/>
      </font>
      <numFmt numFmtId="174" formatCode=";;;"/>
      <fill>
        <patternFill>
          <bgColor theme="0" tint="-0.499984740745262"/>
        </patternFill>
      </fill>
    </dxf>
    <dxf>
      <font>
        <color theme="0" tint="-0.24994659260841701"/>
      </font>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fill>
        <patternFill>
          <bgColor theme="5" tint="0.59996337778862885"/>
        </patternFill>
      </fill>
    </dxf>
    <dxf>
      <font>
        <color theme="0" tint="-0.499984740745262"/>
      </font>
      <numFmt numFmtId="174" formatCode=";;;"/>
      <fill>
        <patternFill>
          <bgColor theme="0" tint="-0.499984740745262"/>
        </patternFill>
      </fill>
    </dxf>
    <dxf>
      <font>
        <color theme="0" tint="-0.499984740745262"/>
      </font>
      <numFmt numFmtId="174" formatCode=";;;"/>
      <fill>
        <patternFill>
          <bgColor theme="0" tint="-0.499984740745262"/>
        </patternFill>
      </fill>
    </dxf>
    <dxf>
      <fill>
        <patternFill>
          <bgColor theme="5" tint="0.59996337778862885"/>
        </patternFill>
      </fill>
    </dxf>
    <dxf>
      <font>
        <color theme="0" tint="-0.499984740745262"/>
      </font>
      <numFmt numFmtId="174" formatCode=";;;"/>
      <fill>
        <patternFill>
          <bgColor theme="0" tint="-0.499984740745262"/>
        </patternFill>
      </fill>
    </dxf>
    <dxf>
      <fill>
        <patternFill>
          <bgColor rgb="FFFFD966"/>
        </patternFill>
      </fill>
    </dxf>
    <dxf>
      <fill>
        <patternFill>
          <bgColor theme="5" tint="0.59996337778862885"/>
        </patternFill>
      </fill>
    </dxf>
    <dxf>
      <fill>
        <patternFill>
          <bgColor rgb="FFFFD966"/>
        </patternFill>
      </fill>
    </dxf>
    <dxf>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font>
        <color auto="1"/>
      </font>
      <fill>
        <patternFill>
          <bgColor rgb="FFFFD966"/>
        </patternFill>
      </fill>
    </dxf>
    <dxf>
      <font>
        <color auto="1"/>
      </font>
      <fill>
        <patternFill>
          <bgColor rgb="FFFFD966"/>
        </patternFill>
      </fill>
    </dxf>
    <dxf>
      <font>
        <color auto="1"/>
      </font>
      <fill>
        <patternFill>
          <bgColor rgb="FFFFD966"/>
        </patternFill>
      </fill>
    </dxf>
    <dxf>
      <font>
        <color auto="1"/>
      </font>
      <fill>
        <patternFill>
          <bgColor rgb="FFFFD966"/>
        </patternFill>
      </fill>
    </dxf>
    <dxf>
      <font>
        <color auto="1"/>
      </font>
      <fill>
        <patternFill>
          <bgColor rgb="FFFFD966"/>
        </patternFill>
      </fill>
    </dxf>
    <dxf>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font>
        <color rgb="FF808080"/>
      </font>
      <fill>
        <patternFill patternType="solid">
          <bgColor rgb="FF808080"/>
        </patternFill>
      </fill>
    </dxf>
    <dxf>
      <numFmt numFmtId="174" formatCode=";;;"/>
      <fill>
        <patternFill>
          <bgColor theme="0" tint="-0.499984740745262"/>
        </patternFill>
      </fill>
    </dxf>
    <dxf>
      <numFmt numFmtId="174" formatCode=";;;"/>
      <fill>
        <patternFill>
          <bgColor theme="0" tint="-0.499984740745262"/>
        </patternFill>
      </fill>
    </dxf>
    <dxf>
      <fill>
        <patternFill patternType="solid">
          <bgColor rgb="FFEBB8B7"/>
        </patternFill>
      </fill>
    </dxf>
    <dxf>
      <fill>
        <patternFill patternType="solid">
          <bgColor rgb="FFEBB8B7"/>
        </patternFill>
      </fill>
    </dxf>
    <dxf>
      <fill>
        <patternFill patternType="solid">
          <bgColor rgb="FFFFD966"/>
        </patternFill>
      </fill>
    </dxf>
    <dxf>
      <fill>
        <patternFill patternType="solid">
          <bgColor rgb="FFFFD966"/>
        </patternFill>
      </fill>
    </dxf>
    <dxf>
      <fill>
        <patternFill>
          <bgColor rgb="FFE6B8B7"/>
        </patternFill>
      </fill>
    </dxf>
    <dxf>
      <numFmt numFmtId="174" formatCode=";;;"/>
      <fill>
        <patternFill>
          <bgColor theme="0" tint="-0.499984740745262"/>
        </patternFill>
      </fill>
    </dxf>
    <dxf>
      <numFmt numFmtId="174" formatCode=";;;"/>
      <fill>
        <patternFill>
          <bgColor theme="0" tint="-0.499984740745262"/>
        </patternFill>
      </fill>
    </dxf>
    <dxf>
      <fill>
        <patternFill>
          <bgColor rgb="FFFFD966"/>
        </patternFill>
      </fill>
    </dxf>
    <dxf>
      <fill>
        <patternFill patternType="solid">
          <bgColor rgb="FFEBB8B7"/>
        </patternFill>
      </fill>
    </dxf>
    <dxf>
      <numFmt numFmtId="174" formatCode=";;;"/>
      <fill>
        <patternFill>
          <bgColor theme="0" tint="-0.499984740745262"/>
        </patternFill>
      </fill>
    </dxf>
    <dxf>
      <fill>
        <patternFill>
          <bgColor theme="5" tint="0.59996337778862885"/>
        </patternFill>
      </fill>
    </dxf>
    <dxf>
      <numFmt numFmtId="174" formatCode=";;;"/>
      <fill>
        <patternFill>
          <bgColor theme="0" tint="-0.499984740745262"/>
        </patternFill>
      </fill>
    </dxf>
    <dxf>
      <numFmt numFmtId="174" formatCode=";;;"/>
      <fill>
        <patternFill>
          <bgColor theme="0" tint="-0.499984740745262"/>
        </patternFill>
      </fill>
    </dxf>
    <dxf>
      <fill>
        <patternFill>
          <bgColor theme="5" tint="0.59996337778862885"/>
        </patternFill>
      </fill>
    </dxf>
    <dxf>
      <numFmt numFmtId="174" formatCode=";;;"/>
      <fill>
        <patternFill>
          <bgColor theme="0" tint="-0.499984740745262"/>
        </patternFill>
      </fill>
    </dxf>
    <dxf>
      <numFmt numFmtId="174" formatCode=";;;"/>
      <fill>
        <patternFill>
          <bgColor theme="0" tint="-0.499984740745262"/>
        </patternFill>
      </fill>
    </dxf>
    <dxf>
      <fill>
        <patternFill>
          <bgColor theme="5" tint="0.59996337778862885"/>
        </patternFill>
      </fill>
    </dxf>
    <dxf>
      <numFmt numFmtId="174" formatCode=";;;"/>
      <fill>
        <patternFill>
          <bgColor theme="0" tint="-0.499984740745262"/>
        </patternFill>
      </fill>
    </dxf>
    <dxf>
      <numFmt numFmtId="174" formatCode=";;;"/>
      <fill>
        <patternFill>
          <bgColor theme="0" tint="-0.499984740745262"/>
        </patternFill>
      </fill>
    </dxf>
    <dxf>
      <fill>
        <patternFill>
          <bgColor theme="5" tint="0.59996337778862885"/>
        </patternFill>
      </fill>
    </dxf>
    <dxf>
      <numFmt numFmtId="174" formatCode=";;;"/>
      <fill>
        <patternFill>
          <bgColor theme="0" tint="-0.499984740745262"/>
        </patternFill>
      </fill>
    </dxf>
    <dxf>
      <numFmt numFmtId="174" formatCode=";;;"/>
      <fill>
        <patternFill>
          <bgColor theme="0" tint="-0.499984740745262"/>
        </patternFill>
      </fill>
    </dxf>
    <dxf>
      <fill>
        <patternFill>
          <bgColor theme="5" tint="0.59996337778862885"/>
        </patternFill>
      </fill>
    </dxf>
    <dxf>
      <numFmt numFmtId="174" formatCode=";;;"/>
      <fill>
        <patternFill>
          <bgColor theme="0" tint="-0.499984740745262"/>
        </patternFill>
      </fill>
    </dxf>
    <dxf>
      <numFmt numFmtId="174" formatCode=";;;"/>
      <fill>
        <patternFill>
          <bgColor theme="0" tint="-0.499984740745262"/>
        </patternFill>
      </fill>
    </dxf>
    <dxf>
      <fill>
        <patternFill>
          <bgColor theme="5" tint="0.59996337778862885"/>
        </patternFill>
      </fill>
    </dxf>
    <dxf>
      <numFmt numFmtId="174" formatCode=";;;"/>
      <fill>
        <patternFill>
          <bgColor theme="0" tint="-0.499984740745262"/>
        </patternFill>
      </fill>
    </dxf>
    <dxf>
      <numFmt numFmtId="174" formatCode=";;;"/>
      <fill>
        <patternFill>
          <bgColor theme="0" tint="-0.499984740745262"/>
        </patternFill>
      </fill>
    </dxf>
    <dxf>
      <fill>
        <patternFill>
          <bgColor theme="5" tint="0.59996337778862885"/>
        </patternFill>
      </fill>
    </dxf>
    <dxf>
      <numFmt numFmtId="174" formatCode=";;;"/>
      <fill>
        <patternFill>
          <bgColor theme="0" tint="-0.499984740745262"/>
        </patternFill>
      </fill>
    </dxf>
    <dxf>
      <numFmt numFmtId="174" formatCode=";;;"/>
      <fill>
        <patternFill>
          <bgColor theme="0" tint="-0.499984740745262"/>
        </patternFill>
      </fill>
    </dxf>
    <dxf>
      <fill>
        <patternFill>
          <bgColor theme="5" tint="0.59996337778862885"/>
        </patternFill>
      </fill>
    </dxf>
    <dxf>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fill>
        <patternFill>
          <bgColor theme="5" tint="0.59996337778862885"/>
        </patternFill>
      </fill>
    </dxf>
    <dxf>
      <numFmt numFmtId="174" formatCode=";;;"/>
      <fill>
        <patternFill>
          <bgColor theme="0" tint="-0.499984740745262"/>
        </patternFill>
      </fill>
    </dxf>
    <dxf>
      <numFmt numFmtId="174" formatCode=";;;"/>
      <fill>
        <patternFill>
          <bgColor theme="0" tint="-0.499984740745262"/>
        </patternFill>
      </fill>
    </dxf>
    <dxf>
      <fill>
        <patternFill>
          <bgColor theme="5" tint="0.59996337778862885"/>
        </patternFill>
      </fill>
    </dxf>
    <dxf>
      <numFmt numFmtId="174" formatCode=";;;"/>
      <fill>
        <patternFill>
          <bgColor theme="0" tint="-0.499984740745262"/>
        </patternFill>
      </fill>
    </dxf>
    <dxf>
      <fill>
        <patternFill patternType="solid">
          <bgColor rgb="FFFFD966"/>
        </patternFill>
      </fill>
    </dxf>
    <dxf>
      <font>
        <color auto="1"/>
      </font>
      <fill>
        <patternFill>
          <bgColor rgb="FFEBB8B7"/>
        </patternFill>
      </fill>
    </dxf>
    <dxf>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numFmt numFmtId="174" formatCode=";;;"/>
      <fill>
        <patternFill>
          <bgColor theme="0" tint="-0.499984740745262"/>
        </patternFill>
      </fill>
    </dxf>
    <dxf>
      <fill>
        <patternFill>
          <bgColor rgb="FFFFD966"/>
        </patternFill>
      </fill>
    </dxf>
    <dxf>
      <fill>
        <patternFill>
          <bgColor rgb="FFEBB8B7"/>
        </patternFill>
      </fill>
    </dxf>
    <dxf>
      <numFmt numFmtId="174" formatCode=";;;"/>
      <fill>
        <patternFill>
          <bgColor theme="0" tint="-0.499984740745262"/>
        </patternFill>
      </fill>
    </dxf>
    <dxf>
      <numFmt numFmtId="174" formatCode=";;;"/>
      <fill>
        <patternFill>
          <bgColor theme="0" tint="-0.499984740745262"/>
        </patternFill>
      </fill>
    </dxf>
    <dxf>
      <numFmt numFmtId="174" formatCode=";;;"/>
      <fill>
        <patternFill>
          <bgColor rgb="FF838383"/>
        </patternFill>
      </fill>
    </dxf>
    <dxf>
      <font>
        <b/>
        <i val="0"/>
        <strike val="0"/>
        <condense val="0"/>
        <extend val="0"/>
        <outline val="0"/>
        <shadow val="0"/>
        <u val="none"/>
        <vertAlign val="baseline"/>
        <sz val="11"/>
        <color theme="1"/>
        <name val="Arial"/>
        <family val="2"/>
        <scheme val="none"/>
      </font>
      <numFmt numFmtId="171" formatCode="[=0]0;[&lt;0.01]0.00E+00;#,##0.00"/>
      <alignment horizontal="left" vertical="top" textRotation="0" wrapText="1" indent="0" justifyLastLine="0" shrinkToFit="0" readingOrder="0"/>
      <border>
        <right style="thin">
          <color indexed="64"/>
        </right>
      </border>
    </dxf>
    <dxf>
      <font>
        <b/>
        <i val="0"/>
        <strike val="0"/>
        <condense val="0"/>
        <extend val="0"/>
        <outline val="0"/>
        <shadow val="0"/>
        <u val="none"/>
        <vertAlign val="baseline"/>
        <sz val="11"/>
        <color theme="1"/>
        <name val="Arial"/>
        <family val="2"/>
        <scheme val="none"/>
      </font>
      <numFmt numFmtId="171" formatCode="[=0]0;[&lt;0.01]0.00E+00;#,##0.00"/>
      <alignment horizontal="left" vertical="top" textRotation="0" wrapText="1" indent="0" justifyLastLine="0" shrinkToFit="0" readingOrder="0"/>
      <border diagonalUp="0" diagonalDown="0">
        <left style="thin">
          <color indexed="64"/>
        </left>
        <right style="thin">
          <color indexed="64"/>
        </right>
        <top/>
        <bottom style="thin">
          <color indexed="64"/>
        </bottom>
      </border>
    </dxf>
    <dxf>
      <numFmt numFmtId="171" formatCode="[=0]0;[&lt;0.01]0.00E+00;#,##0.00"/>
      <alignment horizontal="left" vertical="top" textRotation="0" wrapText="1" indent="0" justifyLastLine="0" shrinkToFit="0" readingOrder="0"/>
      <border>
        <right style="thin">
          <color indexed="64"/>
        </right>
      </border>
    </dxf>
    <dxf>
      <numFmt numFmtId="171" formatCode="[=0]0;[&lt;0.01]0.00E+00;#,##0.00"/>
      <alignment horizontal="left" vertical="top" textRotation="0" wrapText="1" indent="0" justifyLastLine="0" shrinkToFit="0" readingOrder="0"/>
      <border>
        <right style="thin">
          <color indexed="64"/>
        </right>
      </border>
    </dxf>
    <dxf>
      <numFmt numFmtId="171" formatCode="[=0]0;[&lt;0.01]0.00E+00;#,##0.00"/>
      <alignment horizontal="left" vertical="top" textRotation="0" wrapText="1" indent="0" justifyLastLine="0" shrinkToFit="0" readingOrder="0"/>
      <border>
        <right style="thin">
          <color indexed="64"/>
        </right>
      </border>
    </dxf>
    <dxf>
      <numFmt numFmtId="171" formatCode="[=0]0;[&lt;0.01]0.00E+00;#,##0.00"/>
      <alignment horizontal="left" vertical="top" textRotation="0" wrapText="1" indent="0" justifyLastLine="0" shrinkToFit="0" readingOrder="0"/>
      <border>
        <right style="thin">
          <color indexed="64"/>
        </right>
      </border>
    </dxf>
    <dxf>
      <numFmt numFmtId="171" formatCode="[=0]0;[&lt;0.01]0.00E+00;#,##0.00"/>
      <alignment horizontal="left" vertical="top" textRotation="0" wrapText="1" indent="0" justifyLastLine="0" shrinkToFit="0" readingOrder="0"/>
      <border>
        <right style="thin">
          <color indexed="64"/>
        </right>
      </border>
    </dxf>
    <dxf>
      <numFmt numFmtId="171" formatCode="[=0]0;[&lt;0.01]0.00E+00;#,##0.00"/>
      <alignment horizontal="left" vertical="top" textRotation="0" wrapText="1" indent="0" justifyLastLine="0" shrinkToFit="0" readingOrder="0"/>
      <border>
        <right style="thin">
          <color indexed="64"/>
        </right>
      </border>
    </dxf>
    <dxf>
      <numFmt numFmtId="171" formatCode="[=0]0;[&lt;0.01]0.00E+00;#,##0.00"/>
      <alignment horizontal="left" vertical="top" textRotation="0" wrapText="1" indent="0" justifyLastLine="0" shrinkToFit="0" readingOrder="0"/>
      <border>
        <right style="thin">
          <color indexed="64"/>
        </right>
      </border>
    </dxf>
    <dxf>
      <numFmt numFmtId="171" formatCode="[=0]0;[&lt;0.01]0.00E+00;#,##0.00"/>
      <alignment horizontal="left" vertical="top" textRotation="0" wrapText="1" indent="0" justifyLastLine="0" shrinkToFit="0" readingOrder="0"/>
      <border>
        <right style="thin">
          <color indexed="64"/>
        </right>
      </border>
    </dxf>
    <dxf>
      <border outline="0">
        <right style="thin">
          <color indexed="64"/>
        </right>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indexed="64"/>
        </right>
        <top/>
        <bottom style="thin">
          <color indexed="64"/>
        </bottom>
        <vertical/>
        <horizontal/>
      </border>
    </dxf>
    <dxf>
      <border outline="0">
        <left style="medium">
          <color auto="1"/>
        </left>
        <right style="medium">
          <color indexed="64"/>
        </right>
        <top style="medium">
          <color indexed="64"/>
        </top>
        <bottom style="medium">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auto="1"/>
        </left>
        <right style="medium">
          <color auto="1"/>
        </right>
        <top style="medium">
          <color indexed="64"/>
        </top>
        <bottom style="medium">
          <color indexed="64"/>
        </bottom>
      </border>
    </dxf>
    <dxf>
      <border outline="0">
        <bottom style="thin">
          <color indexed="64"/>
        </bottom>
      </border>
    </dxf>
    <dxf>
      <font>
        <b/>
      </font>
      <alignment horizontal="left" vertical="top" textRotation="0" wrapText="1" indent="0" justifyLastLine="0" shrinkToFit="0" readingOrder="0"/>
      <border diagonalUp="0" diagonalDown="0" outline="0">
        <left style="thin">
          <color indexed="64"/>
        </left>
        <right style="thin">
          <color indexed="64"/>
        </right>
        <top/>
        <bottom/>
      </border>
    </dxf>
    <dxf>
      <numFmt numFmtId="171" formatCode="[=0]0;[&lt;0.01]0.00E+00;#,##0.00"/>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dxf>
    <dxf>
      <numFmt numFmtId="171" formatCode="[=0]0;[&lt;0.01]0.00E+00;#,##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71" formatCode="[=0]0;[&lt;0.01]0.00E+00;#,##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71" formatCode="[=0]0;[&lt;0.01]0.00E+00;#,##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medium">
          <color auto="1"/>
        </left>
        <right style="medium">
          <color auto="1"/>
        </right>
        <top style="medium">
          <color indexed="64"/>
        </top>
        <bottom style="medium">
          <color indexed="64"/>
        </bottom>
      </border>
    </dxf>
    <dxf>
      <fill>
        <patternFill patternType="solid">
          <fgColor indexed="64"/>
          <bgColor rgb="FFFF99CC"/>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auto="1"/>
        </left>
        <right style="medium">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numFmt numFmtId="173" formatCode="[=0]\ 0.00;[&lt;0.005]\&lt;\ 0.0\1;#,##0.00"/>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dxf>
    <dxf>
      <numFmt numFmtId="173" formatCode="[=0]\ 0.00;[&lt;0.005]\&lt;\ 0.0\1;#,##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auto="1"/>
        </left>
        <right style="medium">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dxf>
    <dxf>
      <font>
        <b val="0"/>
        <i val="0"/>
        <strike val="0"/>
        <condense val="0"/>
        <extend val="0"/>
        <outline val="0"/>
        <shadow val="0"/>
        <u val="none"/>
        <vertAlign val="baseline"/>
        <sz val="11"/>
        <color theme="0"/>
        <name val="Arial"/>
        <family val="2"/>
        <scheme val="none"/>
      </font>
      <alignment horizontal="left" vertical="top" textRotation="0" wrapText="1" indent="0" justifyLastLine="0" shrinkToFit="0" readingOrder="0"/>
      <border diagonalUp="0" diagonalDown="0">
        <left/>
        <right style="thin">
          <color indexed="64"/>
        </right>
        <top/>
        <bottom/>
        <vertical/>
        <horizontal/>
      </border>
    </dxf>
    <dxf>
      <border outline="0">
        <left style="medium">
          <color auto="1"/>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auto="1"/>
        </left>
        <right style="thin">
          <color auto="1"/>
        </right>
        <top/>
        <bottom/>
      </border>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1" formatCode="[=0]0;[&lt;0.01]0.00E+00;#,##0.0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rgb="FF000000"/>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71" formatCode="[=0]0;[&lt;0.01]0.00E+00;#,##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medium">
          <color indexed="64"/>
        </left>
        <right style="medium">
          <color auto="1"/>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71" formatCode="[=0]0;[&lt;0.01]0.00E+00;#,##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medium">
          <color indexed="64"/>
        </left>
        <right style="medium">
          <color auto="1"/>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medium">
          <color indexed="64"/>
        </left>
        <right style="medium">
          <color auto="1"/>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medium">
          <color indexed="64"/>
        </left>
        <right style="medium">
          <color auto="1"/>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medium">
          <color auto="1"/>
        </right>
        <top style="thin">
          <color indexed="64"/>
        </top>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dxf>
    <dxf>
      <fill>
        <patternFill patternType="solid">
          <fgColor indexed="64"/>
          <bgColor rgb="FFFFFFCC"/>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rgb="FFFFFFCC"/>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medium">
          <color indexed="64"/>
        </left>
        <right style="thin">
          <color indexed="64"/>
        </right>
        <top style="thin">
          <color indexed="64"/>
        </top>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medium">
          <color indexed="64"/>
        </left>
        <right style="thin">
          <color indexed="64"/>
        </right>
        <top style="thin">
          <color indexed="64"/>
        </top>
        <bottom style="medium">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medium">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outline="0">
        <right style="medium">
          <color rgb="FF000000"/>
        </right>
        <top style="medium">
          <color indexed="64"/>
        </top>
        <bottom style="medium">
          <color rgb="FF000000"/>
        </bottom>
      </border>
    </dxf>
    <dxf>
      <border outline="0">
        <bottom style="medium">
          <color indexed="64"/>
        </bottom>
      </border>
    </dxf>
    <dxf>
      <border outline="0">
        <right style="medium">
          <color rgb="FF000000"/>
        </right>
        <top style="medium">
          <color indexed="64"/>
        </top>
        <bottom style="medium">
          <color rgb="FF000000"/>
        </bottom>
      </border>
    </dxf>
    <dxf>
      <border outline="0">
        <bottom style="medium">
          <color indexed="64"/>
        </bottom>
      </border>
    </dxf>
    <dxf>
      <font>
        <b val="0"/>
        <i val="0"/>
        <strike val="0"/>
        <condense val="0"/>
        <extend val="0"/>
        <outline val="0"/>
        <shadow val="0"/>
        <u val="none"/>
        <vertAlign val="baseline"/>
        <sz val="11"/>
        <color auto="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left/>
        <right/>
        <top style="thin">
          <color indexed="64"/>
        </top>
        <bottom/>
        <vertical/>
        <horizontal/>
      </border>
    </dxf>
    <dxf>
      <border diagonalUp="0" diagonalDown="0">
        <left style="medium">
          <color auto="1"/>
        </left>
        <right style="medium">
          <color auto="1"/>
        </right>
        <top style="medium">
          <color auto="1"/>
        </top>
        <bottom style="medium">
          <color auto="1"/>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71" formatCode="[=0]0;[&lt;0.01]0.00E+00;#,##0.00"/>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medium">
          <color auto="1"/>
        </left>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71" formatCode="[=0]0;[&lt;0.01]0.00E+00;#,##0.00"/>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medium">
          <color auto="1"/>
        </left>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71" formatCode="[=0]0;[&lt;0.01]0.00E+00;#,##0.00"/>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medium">
          <color auto="1"/>
        </left>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71" formatCode="[=0]0;[&lt;0.01]0.00E+00;#,##0.00"/>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medium">
          <color auto="1"/>
        </left>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71" formatCode="[=0]0;[&lt;0.01]0.00E+00;#,##0.00"/>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medium">
          <color auto="1"/>
        </left>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71" formatCode="[=0]0;[&lt;0.01]0.00E+00;#,##0.00"/>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medium">
          <color auto="1"/>
        </left>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71" formatCode="[=0]0;[&lt;0.01]0.00E+00;#,##0.00"/>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medium">
          <color auto="1"/>
        </left>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71" formatCode="[=0]0;[&lt;0.01]0.00E+00;#,##0.00"/>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medium">
          <color auto="1"/>
        </left>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71" formatCode="[=0]0;[&lt;0.01]0.00E+00;#,##0.00"/>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medium">
          <color auto="1"/>
        </left>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top style="thin">
          <color indexed="64"/>
        </top>
        <bottom style="medium">
          <color indexed="64"/>
        </bottom>
      </border>
    </dxf>
    <dxf>
      <border outline="0">
        <bottom style="thin">
          <color indexed="64"/>
        </bottom>
      </border>
    </dxf>
    <dxf>
      <numFmt numFmtId="172" formatCode="[=0]0;[&lt;0.001]0.00E+00;#,##0.000"/>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rgb="FF000000"/>
        </left>
        <right style="medium">
          <color rgb="FF000000"/>
        </right>
        <top style="medium">
          <color rgb="FF000000"/>
        </top>
        <bottom style="medium">
          <color rgb="FF000000"/>
        </bottom>
      </border>
    </dxf>
    <dxf>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numFmt numFmtId="172" formatCode="[=0]0;[&lt;0.001]0.00E+00;#,##0.000"/>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2" formatCode="[=0]0;[&lt;0.001]0.00E+00;#,##0.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auto="1"/>
        </left>
        <right style="medium">
          <color auto="1"/>
        </right>
        <top style="medium">
          <color auto="1"/>
        </top>
        <bottom style="medium">
          <color auto="1"/>
        </bottom>
      </border>
    </dxf>
    <dxf>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border outline="0">
        <left style="medium">
          <color auto="1"/>
        </left>
        <right style="medium">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165" formatCode="0.0000000"/>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border diagonalUp="0" diagonalDown="0">
        <left style="medium">
          <color auto="1"/>
        </left>
        <right style="medium">
          <color auto="1"/>
        </right>
        <top style="medium">
          <color indexed="64"/>
        </top>
        <bottom style="medium">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thin">
          <color indexed="64"/>
        </right>
        <top style="medium">
          <color indexed="64"/>
        </top>
        <bottom style="medium">
          <color auto="1"/>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165" formatCode="0.0000000"/>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border diagonalUp="0" diagonalDown="0">
        <left style="medium">
          <color auto="1"/>
        </left>
        <right style="medium">
          <color auto="1"/>
        </right>
        <top style="medium">
          <color indexed="64"/>
        </top>
        <bottom style="medium">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thin">
          <color indexed="64"/>
        </right>
        <top style="medium">
          <color indexed="64"/>
        </top>
        <bottom style="medium">
          <color auto="1"/>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165" formatCode="0.0000000"/>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border diagonalUp="0" diagonalDown="0">
        <left style="medium">
          <color auto="1"/>
        </left>
        <right style="medium">
          <color auto="1"/>
        </right>
        <top style="medium">
          <color indexed="64"/>
        </top>
        <bottom style="medium">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thin">
          <color indexed="64"/>
        </right>
        <top style="medium">
          <color indexed="64"/>
        </top>
        <bottom style="medium">
          <color auto="1"/>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165" formatCode="0.0000000"/>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border diagonalUp="0" diagonalDown="0">
        <left style="medium">
          <color auto="1"/>
        </left>
        <right style="medium">
          <color auto="1"/>
        </right>
        <top style="medium">
          <color indexed="64"/>
        </top>
        <bottom style="medium">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thin">
          <color indexed="64"/>
        </right>
        <top style="medium">
          <color indexed="64"/>
        </top>
        <bottom style="medium">
          <color auto="1"/>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165" formatCode="0.0000000"/>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border diagonalUp="0" diagonalDown="0">
        <left style="medium">
          <color auto="1"/>
        </left>
        <right style="medium">
          <color auto="1"/>
        </right>
        <top style="medium">
          <color indexed="64"/>
        </top>
        <bottom style="medium">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thin">
          <color indexed="64"/>
        </right>
        <top style="medium">
          <color indexed="64"/>
        </top>
        <bottom style="medium">
          <color auto="1"/>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165" formatCode="0.0000000"/>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border diagonalUp="0" diagonalDown="0">
        <left style="medium">
          <color auto="1"/>
        </left>
        <right style="medium">
          <color auto="1"/>
        </right>
        <top style="medium">
          <color indexed="64"/>
        </top>
        <bottom style="medium">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thin">
          <color indexed="64"/>
        </right>
        <top style="medium">
          <color indexed="64"/>
        </top>
        <bottom style="medium">
          <color auto="1"/>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165" formatCode="0.0000000"/>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border diagonalUp="0" diagonalDown="0">
        <left style="medium">
          <color auto="1"/>
        </left>
        <right style="medium">
          <color auto="1"/>
        </right>
        <top style="medium">
          <color indexed="64"/>
        </top>
        <bottom style="medium">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thin">
          <color indexed="64"/>
        </right>
        <top style="medium">
          <color indexed="64"/>
        </top>
        <bottom style="medium">
          <color auto="1"/>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165" formatCode="0.0000000"/>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border diagonalUp="0" diagonalDown="0">
        <left style="medium">
          <color auto="1"/>
        </left>
        <right style="medium">
          <color auto="1"/>
        </right>
        <top style="medium">
          <color indexed="64"/>
        </top>
        <bottom style="medium">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thin">
          <color indexed="64"/>
        </right>
        <top style="medium">
          <color indexed="64"/>
        </top>
        <bottom style="medium">
          <color auto="1"/>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165" formatCode="0.0000000"/>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border diagonalUp="0" diagonalDown="0">
        <left style="medium">
          <color auto="1"/>
        </left>
        <right style="medium">
          <color auto="1"/>
        </right>
        <top style="medium">
          <color indexed="64"/>
        </top>
        <bottom style="medium">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thin">
          <color indexed="64"/>
        </right>
        <top style="medium">
          <color indexed="64"/>
        </top>
        <bottom style="medium">
          <color auto="1"/>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Arial"/>
        <family val="2"/>
        <scheme val="none"/>
      </font>
      <numFmt numFmtId="165" formatCode="0.0000000"/>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medium">
          <color auto="1"/>
        </left>
        <right style="thin">
          <color auto="1"/>
        </right>
        <top style="medium">
          <color indexed="64"/>
        </top>
        <bottom style="medium">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auto="1"/>
        </left>
        <right style="thin">
          <color auto="1"/>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theme="1"/>
        <name val="Arial"/>
        <family val="2"/>
        <scheme val="none"/>
      </font>
      <numFmt numFmtId="169" formatCode="#,##0.0000"/>
      <alignment horizontal="lef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Arial"/>
        <family val="2"/>
        <scheme val="none"/>
      </font>
      <numFmt numFmtId="165" formatCode="0.0000000"/>
      <fill>
        <patternFill patternType="none">
          <fgColor indexed="64"/>
          <bgColor indexed="65"/>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Arial"/>
        <family val="2"/>
        <scheme val="none"/>
      </font>
      <numFmt numFmtId="169" formatCode="#,##0.0000"/>
      <fill>
        <patternFill patternType="none">
          <fgColor indexed="64"/>
          <bgColor indexed="65"/>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top style="thin">
          <color auto="1"/>
        </top>
      </border>
    </dxf>
    <dxf>
      <border diagonalUp="0" diagonalDown="0">
        <left style="medium">
          <color auto="1"/>
        </left>
        <right style="medium">
          <color auto="1"/>
        </right>
        <top style="medium">
          <color indexed="64"/>
        </top>
        <bottom style="medium">
          <color indexed="64"/>
        </bottom>
      </border>
    </dxf>
    <dxf>
      <border>
        <bottom style="thin">
          <color auto="1"/>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thin">
          <color auto="1"/>
        </right>
        <top style="medium">
          <color indexed="64"/>
        </top>
        <bottom style="medium">
          <color indexed="64"/>
        </bottom>
      </border>
    </dxf>
    <dxf>
      <border outline="0">
        <bottom style="thin">
          <color indexed="64"/>
        </bottom>
      </border>
    </dxf>
    <dxf>
      <border outline="0">
        <left style="medium">
          <color indexed="64"/>
        </left>
        <right style="medium">
          <color indexed="64"/>
        </right>
        <top style="medium">
          <color auto="1"/>
        </top>
        <bottom style="thin">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numFmt numFmtId="0" formatCode="General"/>
    </dxf>
    <dxf>
      <border outline="0">
        <left style="medium">
          <color auto="1"/>
        </left>
        <top style="medium">
          <color auto="1"/>
        </top>
        <bottom style="medium">
          <color indexed="64"/>
        </bottom>
      </border>
    </dxf>
    <dxf>
      <border outline="0">
        <bottom style="thin">
          <color auto="1"/>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auto="1"/>
        </top>
        <bottom style="medium">
          <color indexed="64"/>
        </bottom>
      </border>
    </dxf>
    <dxf>
      <border>
        <bottom style="thin">
          <color indexed="64"/>
        </bottom>
      </border>
    </dxf>
    <dxf>
      <fill>
        <patternFill patternType="none"/>
      </fill>
      <border diagonalUp="0" diagonalDown="0">
        <left style="thin">
          <color indexed="64"/>
        </left>
        <right style="thin">
          <color indexed="64"/>
        </right>
        <top/>
        <bottom/>
        <vertical style="thin">
          <color indexed="64"/>
        </vertical>
        <horizontal style="thin">
          <color indexed="64"/>
        </horizontal>
      </border>
    </dxf>
    <dxf>
      <border outline="0">
        <left style="medium">
          <color indexed="64"/>
        </left>
        <top style="medium">
          <color indexed="64"/>
        </top>
        <bottom style="medium">
          <color auto="1"/>
        </bottom>
      </border>
    </dxf>
    <dxf>
      <border>
        <bottom style="thin">
          <color indexed="64"/>
        </bottom>
      </border>
    </dxf>
    <dxf>
      <fill>
        <patternFill patternType="none">
          <fgColor indexed="64"/>
          <bgColor auto="1"/>
        </patternFill>
      </fill>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theme="1"/>
        <name val="Arial"/>
        <family val="2"/>
        <scheme val="none"/>
      </font>
      <numFmt numFmtId="167" formatCode="&quot;$&quot;#,##0.00"/>
      <fill>
        <patternFill patternType="solid">
          <fgColor indexed="64"/>
          <bgColor rgb="FFFFFFCC"/>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auto="1"/>
        </left>
        <right style="medium">
          <color auto="1"/>
        </right>
        <top style="medium">
          <color indexed="64"/>
        </top>
        <bottom style="medium">
          <color indexed="64"/>
        </bottom>
      </border>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family val="2"/>
        <scheme val="none"/>
      </font>
      <numFmt numFmtId="167" formatCode="&quot;$&quot;#,##0.00"/>
      <fill>
        <patternFill patternType="solid">
          <fgColor indexed="64"/>
          <bgColor rgb="FFFFFFCC"/>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medium">
          <color auto="1"/>
        </left>
        <right style="medium">
          <color auto="1"/>
        </right>
        <top style="medium">
          <color indexed="64"/>
        </top>
        <bottom style="medium">
          <color indexed="64"/>
        </bottom>
      </border>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medium">
          <color indexed="64"/>
        </right>
        <top style="thin">
          <color auto="1"/>
        </top>
        <bottom style="medium">
          <color indexed="64"/>
        </bottom>
      </border>
    </dxf>
    <dxf>
      <border outline="0">
        <bottom style="thin">
          <color auto="1"/>
        </bottom>
      </border>
    </dxf>
    <dxf>
      <font>
        <b/>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medium">
          <color indexed="64"/>
        </right>
        <top style="thin">
          <color auto="1"/>
        </top>
        <bottom style="medium">
          <color indexed="64"/>
        </bottom>
      </border>
    </dxf>
    <dxf>
      <border outline="0">
        <bottom style="thin">
          <color auto="1"/>
        </bottom>
      </border>
    </dxf>
    <dxf>
      <font>
        <b/>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outline="0">
        <left style="medium">
          <color indexed="64"/>
        </left>
        <right style="medium">
          <color indexed="64"/>
        </right>
        <top style="thin">
          <color auto="1"/>
        </top>
        <bottom style="medium">
          <color indexed="64"/>
        </bottom>
      </border>
    </dxf>
    <dxf>
      <border outline="0">
        <bottom style="thin">
          <color auto="1"/>
        </bottom>
      </border>
    </dxf>
    <dxf>
      <font>
        <b/>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1" hidden="0"/>
    </dxf>
    <dxf>
      <border diagonalUp="0" diagonalDown="0">
        <left style="medium">
          <color indexed="64"/>
        </left>
        <right style="medium">
          <color indexed="64"/>
        </right>
        <top style="thin">
          <color indexed="64"/>
        </top>
        <bottom style="medium">
          <color indexed="64"/>
        </bottom>
      </border>
    </dxf>
    <dxf>
      <border>
        <bottom style="thin">
          <color auto="1"/>
        </bottom>
      </border>
    </dxf>
    <dxf>
      <font>
        <b/>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auto="1"/>
        </left>
        <right style="medium">
          <color auto="1"/>
        </right>
        <top style="medium">
          <color indexed="64"/>
        </top>
        <bottom style="medium">
          <color indexed="64"/>
        </bottom>
      </border>
    </dxf>
    <dxf>
      <border>
        <bottom style="thin">
          <color indexed="64"/>
        </bottom>
      </border>
    </dxf>
  </dxfs>
  <tableStyles count="0" defaultTableStyle="TableStyleMedium2" defaultPivotStyle="PivotStyleLight16"/>
  <colors>
    <mruColors>
      <color rgb="FF838383"/>
      <color rgb="FFAA0000"/>
      <color rgb="FFFFFFCC"/>
      <color rgb="FFFFDCDC"/>
      <color rgb="FFFFD966"/>
      <color rgb="FFFF99CC"/>
      <color rgb="FFDAEEF3"/>
      <color rgb="FFEBB8B7"/>
      <color rgb="FFDCDCFF"/>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DC7F10-8A73-457A-B201-41846DFD8718}" name="Instruction_Submital" displayName="Instruction_Submital" ref="A41:D47" totalsRowShown="0" headerRowBorderDxfId="647" tableBorderDxfId="646">
  <tableColumns count="4">
    <tableColumn id="1" xr3:uid="{05ED00E3-A941-45CF-9AAA-A8CA24405F31}" name="Who" dataDxfId="645" dataCellStyle="Normal 6"/>
    <tableColumn id="2" xr3:uid="{B1CD1459-B497-4B3A-AE8E-FE69789A906A}" name="Where" dataDxfId="644" dataCellStyle="Normal 6"/>
    <tableColumn id="3" xr3:uid="{29CC99D2-A68A-49F2-AFB0-38CBD3E2395B}" name="When" dataDxfId="643" dataCellStyle="Normal 6"/>
    <tableColumn id="4" xr3:uid="{225C993A-1283-46D4-BEB5-FAE96B6965B8}" name="What" dataDxfId="642" dataCellStyle="Normal 6"/>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A6B822D-4170-40A1-A4BF-650C586BAB9D}" name="Fee_PE_Seal" displayName="Fee_PE_Seal" ref="A48:B51" totalsRowShown="0" headerRowBorderDxfId="600" tableBorderDxfId="599">
  <autoFilter ref="A48:B51" xr:uid="{7988667E-EF72-47E9-ACAD-6D62674A6163}">
    <filterColumn colId="0" hiddenButton="1"/>
    <filterColumn colId="1" hiddenButton="1"/>
  </autoFilter>
  <tableColumns count="2">
    <tableColumn id="1" xr3:uid="{776BBF53-F0F9-4513-A14F-84898DCB0009}" name="Requested Information"/>
    <tableColumn id="2" xr3:uid="{66A382A6-C13F-477F-A1F0-3C8C2ACED813}" name="Response" dataDxfId="598">
      <calculatedColumnFormula>IF(OR(B47="no",AND(B47="yes",B48="Yes")),"No",IF(AND(B47="Yes",B48="no"),"Yes",""))</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C0FC362-44E2-4AF2-839E-589789FE1932}" name="Fee_Calculations" displayName="Fee_Calculations" ref="A31:B36" totalsRowShown="0" headerRowDxfId="597" headerRowBorderDxfId="596" tableBorderDxfId="595" headerRowCellStyle="Normal 6">
  <autoFilter ref="A31:B36" xr:uid="{EF6FE552-C6AF-47FF-AB1A-60C771819FD1}">
    <filterColumn colId="0" hiddenButton="1"/>
    <filterColumn colId="1" hiddenButton="1"/>
  </autoFilter>
  <tableColumns count="2">
    <tableColumn id="1" xr3:uid="{242DC930-3E1B-45A0-A384-2512328B16E6}" name="Estimated Capital Cost"/>
    <tableColumn id="2" xr3:uid="{A128B34A-E739-4673-B94D-AEC8E574E603}" name="Minor Application Fee"/>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917083E-8ABC-41A1-8D41-24F03E3F166A}" name="Eng1_General" displayName="Eng1_General" ref="A5:B10" totalsRowShown="0" headerRowBorderDxfId="594" tableBorderDxfId="593">
  <autoFilter ref="A5:B10" xr:uid="{17914FFE-3EBC-436B-B1F6-23A889CF963C}">
    <filterColumn colId="0" hiddenButton="1"/>
    <filterColumn colId="1" hiddenButton="1"/>
  </autoFilter>
  <tableColumns count="2">
    <tableColumn id="1" xr3:uid="{6B57E6D0-E351-48AC-8B90-39734480B70C}" name="Requested Information" dataDxfId="592"/>
    <tableColumn id="2" xr3:uid="{B372EE57-DF43-4460-8EC9-B9F100C1CBB1}" name="Response" dataDxfId="591"/>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24696C1-B8A9-4AB1-8918-DBE1CF81B9EC}" name="Eng1_Emissions" displayName="Eng1_Emissions" ref="A42:E51" totalsRowShown="0" headerRowDxfId="590" headerRowBorderDxfId="589" tableBorderDxfId="588" totalsRowBorderDxfId="587">
  <autoFilter ref="A42:E51" xr:uid="{ECDB6776-B70B-4755-8334-5C44BEE7F5E2}">
    <filterColumn colId="0" hiddenButton="1"/>
    <filterColumn colId="1" hiddenButton="1"/>
    <filterColumn colId="2" hiddenButton="1"/>
    <filterColumn colId="3" hiddenButton="1"/>
    <filterColumn colId="4" hiddenButton="1"/>
  </autoFilter>
  <tableColumns count="5">
    <tableColumn id="1" xr3:uid="{B22E70FB-AC4A-4444-A913-A245E744D098}" name="Pollutant" dataDxfId="586"/>
    <tableColumn id="4" xr3:uid="{13DD400A-BC80-4C84-A7BC-52729806BE4B}" name="lb/hr" dataDxfId="585"/>
    <tableColumn id="5" xr3:uid="{C375FF5B-1F0B-4BB8-A99D-2B51C5A8F9EF}" name="lb/hr max*" dataDxfId="584"/>
    <tableColumn id="6" xr3:uid="{16D88FB6-F03C-43CC-A220-5AFC3FA97C66}" name="tpy" dataDxfId="583">
      <calculatedColumnFormula>B43*$B$25/2000</calculatedColumnFormula>
    </tableColumn>
    <tableColumn id="7" xr3:uid="{E672F5C0-7DAF-48A7-ACE6-FFFBA90D2C93}" name="tpy max**" dataDxfId="58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36A3F6A3-2A07-42FB-9481-BC388EA6D30D}" name="Eng1_Parameters" displayName="Eng1_Parameters" ref="A13:D26" totalsRowShown="0" headerRowDxfId="581" headerRowBorderDxfId="580" tableBorderDxfId="579" totalsRowBorderDxfId="578">
  <autoFilter ref="A13:D26" xr:uid="{36A3F6A3-2A07-42FB-9481-BC388EA6D30D}">
    <filterColumn colId="0" hiddenButton="1"/>
    <filterColumn colId="1" hiddenButton="1"/>
    <filterColumn colId="2" hiddenButton="1"/>
    <filterColumn colId="3" hiddenButton="1"/>
  </autoFilter>
  <tableColumns count="4">
    <tableColumn id="1" xr3:uid="{BDE98DAD-17E8-4685-A1A6-E7A359E203E8}" name="Parameter" dataDxfId="577"/>
    <tableColumn id="2" xr3:uid="{90ED63A9-1E25-4FDA-BA7F-C8E9E1B7D6BC}" name="Value" dataDxfId="576"/>
    <tableColumn id="3" xr3:uid="{FEA4FBFC-C6BD-43BD-AC24-8C294B1886C8}" name="Minimum" dataDxfId="575"/>
    <tableColumn id="4" xr3:uid="{567337AA-E9B0-4B4D-A281-FC985031FFEC}" name="Maximum" dataDxfId="57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83ABA9F0-2B1E-4481-8A2B-6D08D8AB2540}" name="Eng1_Emiss_Factor" displayName="Eng1_Emiss_Factor" ref="A29:D38" totalsRowShown="0" headerRowDxfId="573" headerRowBorderDxfId="572" tableBorderDxfId="571" totalsRowBorderDxfId="570">
  <autoFilter ref="A29:D38" xr:uid="{83ABA9F0-2B1E-4481-8A2B-6D08D8AB2540}">
    <filterColumn colId="0" hiddenButton="1"/>
    <filterColumn colId="1" hiddenButton="1"/>
    <filterColumn colId="2" hiddenButton="1"/>
    <filterColumn colId="3" hiddenButton="1"/>
  </autoFilter>
  <tableColumns count="4">
    <tableColumn id="1" xr3:uid="{4AD59D70-F5DA-42B0-AD4D-39D4BA0E8F38}" name="Pollutant" dataDxfId="569"/>
    <tableColumn id="2" xr3:uid="{5E0F72CF-FA37-420B-A30C-3909AFDF95D5}" name="Emission Factor " dataDxfId="568"/>
    <tableColumn id="3" xr3:uid="{54FD50B9-BA6E-4321-9DDC-8226BFFF5285}" name="EF Unit" dataDxfId="567"/>
    <tableColumn id="4" xr3:uid="{38F045BD-1D3A-4186-87AE-652AD84F53F8}" name="Source of Emission Factor" dataDxfId="566" dataCellStyle="InputCell"/>
  </tableColumns>
  <tableStyleInfo showFirstColumn="0" showLastColumn="0" showRowStripes="1" showColumnStripes="1"/>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6A40875-44EF-4A31-9EF4-42E67DBB6916}" name="Eng2_General" displayName="Eng2_General" ref="A5:B10" totalsRowShown="0" headerRowBorderDxfId="565" tableBorderDxfId="564">
  <autoFilter ref="A5:B10" xr:uid="{9797850C-87B4-4F03-9F09-DCBEAB80E6DE}">
    <filterColumn colId="0" hiddenButton="1"/>
    <filterColumn colId="1" hiddenButton="1"/>
  </autoFilter>
  <tableColumns count="2">
    <tableColumn id="1" xr3:uid="{43A15DA0-952A-4B57-8CFA-472B9B13D735}" name="Requested Information" dataDxfId="563"/>
    <tableColumn id="2" xr3:uid="{381F42D4-5CF5-41C7-A0AB-89F3B36CBCD6}" name="Response" dataDxfId="56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8585B3D-A494-433E-AAC2-0B02198B714B}" name="Eng2_Parameters" displayName="Eng2_Parameters" ref="A13:D26" totalsRowShown="0" headerRowDxfId="561" headerRowBorderDxfId="560" tableBorderDxfId="559" totalsRowBorderDxfId="558">
  <autoFilter ref="A13:D26" xr:uid="{E839603A-8792-4E45-AB52-59B2670D374D}">
    <filterColumn colId="0" hiddenButton="1"/>
    <filterColumn colId="1" hiddenButton="1"/>
    <filterColumn colId="2" hiddenButton="1"/>
    <filterColumn colId="3" hiddenButton="1"/>
  </autoFilter>
  <tableColumns count="4">
    <tableColumn id="1" xr3:uid="{1CDACEDA-BFBA-4272-86F0-03D85D5E7860}" name="Parameter" dataDxfId="557"/>
    <tableColumn id="2" xr3:uid="{A68DCADA-8D88-4FDD-80E0-9702A649EC65}" name="Value" dataDxfId="556"/>
    <tableColumn id="3" xr3:uid="{BCC2A4D2-CDC9-42E9-8C88-F720F8002B1F}" name="Minimum" dataDxfId="555"/>
    <tableColumn id="4" xr3:uid="{B38DECAC-7A59-442B-A390-EBBC113CB1A9}" name="Maximum" dataDxfId="554"/>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23E8E66-D5D7-4E69-9178-1BD097A6CF3F}" name="Eng2_Emissions" displayName="Eng2_Emissions" ref="A42:E51" totalsRowShown="0" headerRowDxfId="553" tableBorderDxfId="552">
  <autoFilter ref="A42:E51" xr:uid="{D00C246B-DB1D-4DD5-A9FA-01F2B8E3A3A8}">
    <filterColumn colId="0" hiddenButton="1"/>
    <filterColumn colId="1" hiddenButton="1"/>
    <filterColumn colId="2" hiddenButton="1"/>
    <filterColumn colId="3" hiddenButton="1"/>
    <filterColumn colId="4" hiddenButton="1"/>
  </autoFilter>
  <tableColumns count="5">
    <tableColumn id="1" xr3:uid="{324361C1-6176-4492-9C4D-DE845BBA6B4B}" name="Pollutant" dataDxfId="551"/>
    <tableColumn id="4" xr3:uid="{1956AB27-E936-4072-85C7-591A3BA3BA81}" name="lb/hr" dataDxfId="550"/>
    <tableColumn id="5" xr3:uid="{55C11D17-5281-43D0-94B9-7A9FDEEDEFFD}" name="lb/hr max*" dataDxfId="549"/>
    <tableColumn id="6" xr3:uid="{9505E330-3C24-4DD8-8440-5A17AB64AB1F}" name="tpy" dataDxfId="548">
      <calculatedColumnFormula>B43*$B$25/2000</calculatedColumnFormula>
    </tableColumn>
    <tableColumn id="7" xr3:uid="{9BD9CEDC-0939-4789-AFB2-DA613FE90F0D}" name="tpy max**" dataDxfId="547"/>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F62FDECD-EB90-46C1-B8D2-FC3E3D3DB7DA}" name="Eng2_Emiss_Factor" displayName="Eng2_Emiss_Factor" ref="A29:D38" totalsRowShown="0" headerRowBorderDxfId="546" tableBorderDxfId="545" totalsRowBorderDxfId="544">
  <autoFilter ref="A29:D38" xr:uid="{F62FDECD-EB90-46C1-B8D2-FC3E3D3DB7DA}">
    <filterColumn colId="0" hiddenButton="1"/>
    <filterColumn colId="1" hiddenButton="1"/>
    <filterColumn colId="2" hiddenButton="1"/>
    <filterColumn colId="3" hiddenButton="1"/>
  </autoFilter>
  <tableColumns count="4">
    <tableColumn id="1" xr3:uid="{029A9E9E-60C6-4BCB-B581-8C1C4F664882}" name="Pollutant" dataDxfId="543"/>
    <tableColumn id="2" xr3:uid="{1573F715-C773-4E08-A9DB-BCA4808501AC}" name="Emission Factor " dataDxfId="542"/>
    <tableColumn id="3" xr3:uid="{B35EAE54-4A58-4AA9-B218-CFAC6C621B87}" name="EF Unit" dataDxfId="541"/>
    <tableColumn id="4" xr3:uid="{03649EC1-0245-4BA5-877D-901169453E16}" name="Source of Emission Factor" dataDxfId="540" dataCellStyle="InputCell"/>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D2FADE4-1276-4A2F-8FB9-4C73B1C9FA9F}" name="PI1_Company_Contact" displayName="PI1_Company_Contact" ref="A12:B24" totalsRowShown="0" headerRowDxfId="641" headerRowBorderDxfId="640" tableBorderDxfId="639" headerRowCellStyle="Normal 6">
  <autoFilter ref="A12:B24" xr:uid="{2E6EDACC-51F0-4A21-84FD-548DCD61FABE}">
    <filterColumn colId="0" hiddenButton="1"/>
    <filterColumn colId="1" hiddenButton="1"/>
  </autoFilter>
  <tableColumns count="2">
    <tableColumn id="1" xr3:uid="{66DFC3F7-3526-4CF9-8A06-BDA137E99D7C}" name="Requested Information" dataDxfId="638" dataCellStyle="Normal 6"/>
    <tableColumn id="2" xr3:uid="{E3D4946D-EE20-4E21-B1C6-41884A038E68}" name="Response" dataDxfId="637" dataCellStyle="Normal 6"/>
  </tableColumns>
  <tableStyleInfo name="TableStyleMedium2" showFirstColumn="0" showLastColumn="0" showRowStripes="1" showColumnStripes="1"/>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B7F6AAF-E5C5-49F7-B707-FE397C1262B7}" name="Eng3_General" displayName="Eng3_General" ref="A5:B10" totalsRowShown="0" headerRowBorderDxfId="539" tableBorderDxfId="538">
  <autoFilter ref="A5:B10" xr:uid="{79409525-F44B-46AB-918B-9626DEFB1AD3}">
    <filterColumn colId="0" hiddenButton="1"/>
    <filterColumn colId="1" hiddenButton="1"/>
  </autoFilter>
  <tableColumns count="2">
    <tableColumn id="1" xr3:uid="{F938AEDE-7DCA-4712-A97E-664558E418AA}" name="Requested Information" dataDxfId="537"/>
    <tableColumn id="2" xr3:uid="{EAC04DB9-2DF6-4AAD-B2E1-6AEE79F3B29F}" name="Response" dataDxfId="536"/>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CCCA0C7-8449-4F13-8681-A4BA05941D2C}" name="Eng3_Parameters" displayName="Eng3_Parameters" ref="A13:D26" totalsRowShown="0" headerRowDxfId="535" headerRowBorderDxfId="534" tableBorderDxfId="533" totalsRowBorderDxfId="532">
  <autoFilter ref="A13:D26" xr:uid="{9E45E4CD-CF25-46F4-AA8F-0AE570AA4125}">
    <filterColumn colId="0" hiddenButton="1"/>
    <filterColumn colId="1" hiddenButton="1"/>
    <filterColumn colId="2" hiddenButton="1"/>
    <filterColumn colId="3" hiddenButton="1"/>
  </autoFilter>
  <tableColumns count="4">
    <tableColumn id="1" xr3:uid="{D351779F-C28F-43E0-819B-AF434A74494F}" name="Parameter" dataDxfId="531"/>
    <tableColumn id="2" xr3:uid="{8D8B5FDE-EA53-4B89-9F78-F202F2FFC243}" name="Value" dataDxfId="530"/>
    <tableColumn id="3" xr3:uid="{73A54564-C414-404C-ADB4-25BF6A61F93D}" name="Minimum" dataDxfId="529"/>
    <tableColumn id="4" xr3:uid="{638DF036-F418-4F6D-8EEB-50DACF325B1B}" name="Maximum" dataDxfId="528"/>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8521521-4AD1-42C4-A0C3-161C539BFFD8}" name="Eng3_Emissions" displayName="Eng3_Emissions" ref="A42:E51" totalsRowShown="0" headerRowDxfId="527" tableBorderDxfId="526">
  <autoFilter ref="A42:E51" xr:uid="{2F5D6D22-03AC-4A7F-87F0-A3B642E39704}">
    <filterColumn colId="0" hiddenButton="1"/>
    <filterColumn colId="1" hiddenButton="1"/>
    <filterColumn colId="2" hiddenButton="1"/>
    <filterColumn colId="3" hiddenButton="1"/>
    <filterColumn colId="4" hiddenButton="1"/>
  </autoFilter>
  <tableColumns count="5">
    <tableColumn id="1" xr3:uid="{667FBEEB-9189-469F-913F-A9088D414CB6}" name="Pollutant" dataDxfId="525"/>
    <tableColumn id="4" xr3:uid="{0DE4EFEB-59DE-4756-8359-0F4CE24016D5}" name="lb/hr" dataDxfId="524"/>
    <tableColumn id="5" xr3:uid="{E19278EA-EA02-41CC-B187-3B600DFCFD8D}" name="lb/hr max*" dataDxfId="523"/>
    <tableColumn id="6" xr3:uid="{6FBEB570-4847-48DF-B042-659D3F5BC70D}" name="tpy" dataDxfId="522">
      <calculatedColumnFormula>B43*$B$25/2000</calculatedColumnFormula>
    </tableColumn>
    <tableColumn id="7" xr3:uid="{C4FC5017-D290-4D71-88D5-D723F9CC18C4}" name="tpy max**" dataDxfId="521"/>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A4DF152C-C67D-46A5-8C79-E76C1BBC2539}" name="Eng3_Emiss_Factor" displayName="Eng3_Emiss_Factor" ref="A29:D38" totalsRowShown="0" headerRowBorderDxfId="520" tableBorderDxfId="519" totalsRowBorderDxfId="518">
  <autoFilter ref="A29:D38" xr:uid="{A4DF152C-C67D-46A5-8C79-E76C1BBC2539}">
    <filterColumn colId="0" hiddenButton="1"/>
    <filterColumn colId="1" hiddenButton="1"/>
    <filterColumn colId="2" hiddenButton="1"/>
    <filterColumn colId="3" hiddenButton="1"/>
  </autoFilter>
  <tableColumns count="4">
    <tableColumn id="1" xr3:uid="{7FE7FA0F-E1F2-486F-AAAB-19E8CD07A74E}" name="Pollutant" dataDxfId="517"/>
    <tableColumn id="2" xr3:uid="{0703E7F9-76DF-4331-A40B-8FE26F82121D}" name="Emission Factor " dataDxfId="516"/>
    <tableColumn id="3" xr3:uid="{FECA72E8-A287-489E-B595-8D24AB259956}" name="EF Unit" dataDxfId="515"/>
    <tableColumn id="4" xr3:uid="{9A45D722-CB4E-4369-914A-ACE88D54CB17}" name="Source of Emission Factor" dataDxfId="514" dataCellStyle="InputCell"/>
  </tableColumns>
  <tableStyleInfo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CE6B3B3-A9DE-43EE-8D59-7C3F52466C97}" name="Eng4_General" displayName="Eng4_General" ref="A5:B10" totalsRowShown="0" headerRowBorderDxfId="513" tableBorderDxfId="512">
  <autoFilter ref="A5:B10" xr:uid="{ECE1C69B-4ECD-4561-A68C-4B3D1232BD14}">
    <filterColumn colId="0" hiddenButton="1"/>
    <filterColumn colId="1" hiddenButton="1"/>
  </autoFilter>
  <tableColumns count="2">
    <tableColumn id="1" xr3:uid="{1166CF4A-5CD1-4131-9894-0816CB15F880}" name="Requested Information" dataDxfId="511"/>
    <tableColumn id="2" xr3:uid="{D2822D14-7608-4AD3-9C13-C9A77BB2715A}" name="Response" dataDxfId="510"/>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3CD48D3-E311-4B37-A248-0DCA12A74219}" name="Eng4_Parameters" displayName="Eng4_Parameters" ref="A13:D26" totalsRowShown="0" headerRowDxfId="509" headerRowBorderDxfId="508" tableBorderDxfId="507" totalsRowBorderDxfId="506">
  <autoFilter ref="A13:D26" xr:uid="{FA531380-91FD-414F-9F16-49D0C36861D0}">
    <filterColumn colId="0" hiddenButton="1"/>
    <filterColumn colId="1" hiddenButton="1"/>
    <filterColumn colId="2" hiddenButton="1"/>
    <filterColumn colId="3" hiddenButton="1"/>
  </autoFilter>
  <tableColumns count="4">
    <tableColumn id="1" xr3:uid="{07004124-DD87-491C-ACB4-1A47978C406E}" name="Parameter" dataDxfId="505"/>
    <tableColumn id="2" xr3:uid="{5A834006-1D16-4C80-BF1E-CA8B4D1A6B8B}" name="Value" dataDxfId="504"/>
    <tableColumn id="3" xr3:uid="{69525F6B-FA6F-4879-9373-C68DAD237DCD}" name="Minimum" dataDxfId="503"/>
    <tableColumn id="4" xr3:uid="{6763C29B-8689-4C79-89B0-24D227F2431E}" name="Maximum" dataDxfId="502"/>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1571EA1-F0C9-4D16-8F2B-471214103E47}" name="Eng4_Emissions" displayName="Eng4_Emissions" ref="A42:E51" totalsRowShown="0" headerRowDxfId="501" tableBorderDxfId="500">
  <autoFilter ref="A42:E51" xr:uid="{7452C38A-DD41-4E84-BF34-ABE96B35D806}">
    <filterColumn colId="0" hiddenButton="1"/>
    <filterColumn colId="1" hiddenButton="1"/>
    <filterColumn colId="2" hiddenButton="1"/>
    <filterColumn colId="3" hiddenButton="1"/>
    <filterColumn colId="4" hiddenButton="1"/>
  </autoFilter>
  <tableColumns count="5">
    <tableColumn id="1" xr3:uid="{35914E4F-4B82-47E1-AC7C-D6405BAED0AA}" name="Pollutant" dataDxfId="499"/>
    <tableColumn id="4" xr3:uid="{7991758B-6C04-4025-9514-B8317E5748EA}" name="lb/hr" dataDxfId="498"/>
    <tableColumn id="5" xr3:uid="{D8C72A1A-69DE-4EF8-8174-03E6574B8F8E}" name="lb/hr max*" dataDxfId="497"/>
    <tableColumn id="6" xr3:uid="{48A6173C-AEBE-4E31-AD8B-BB1418CA3926}" name="tpy" dataDxfId="496">
      <calculatedColumnFormula>B43*$B$25/2000</calculatedColumnFormula>
    </tableColumn>
    <tableColumn id="7" xr3:uid="{BF5F9F58-782A-4A5A-BA6D-6FC8AD935B60}" name="tpy max**" dataDxfId="495"/>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E06685D2-DE10-45A7-90B5-7EFA3AD4EDBA}" name="Eng4_Emiss_Factor" displayName="Eng4_Emiss_Factor" ref="A29:D38" totalsRowShown="0" headerRowBorderDxfId="494" tableBorderDxfId="493" totalsRowBorderDxfId="492">
  <autoFilter ref="A29:D38" xr:uid="{E06685D2-DE10-45A7-90B5-7EFA3AD4EDBA}">
    <filterColumn colId="0" hiddenButton="1"/>
    <filterColumn colId="1" hiddenButton="1"/>
    <filterColumn colId="2" hiddenButton="1"/>
    <filterColumn colId="3" hiddenButton="1"/>
  </autoFilter>
  <tableColumns count="4">
    <tableColumn id="1" xr3:uid="{D5B5AF73-DEBC-41D7-B9EC-2FCA57D879DF}" name="Pollutant" dataDxfId="491"/>
    <tableColumn id="2" xr3:uid="{FFB4BBA8-2E9A-4428-A8B8-84630B10C0BC}" name="Emission Factor " dataDxfId="490"/>
    <tableColumn id="3" xr3:uid="{FF3153FF-59BA-422C-85B7-63FCDD73D80A}" name="EF Unit" dataDxfId="489"/>
    <tableColumn id="4" xr3:uid="{4D86C0B8-DFCF-4FA3-AE32-42B763E35255}" name="Source of Emission Factor" dataDxfId="488" dataCellStyle="InputCell"/>
  </tableColumns>
  <tableStyleInfo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E7AB3BB-99EF-468E-95C6-BCEABA78413A}" name="Eng5_General" displayName="Eng5_General" ref="A5:B10" totalsRowShown="0" headerRowBorderDxfId="487" tableBorderDxfId="486">
  <autoFilter ref="A5:B10" xr:uid="{5C0AF8D7-C17F-4021-878B-25F6EC99CA66}">
    <filterColumn colId="0" hiddenButton="1"/>
    <filterColumn colId="1" hiddenButton="1"/>
  </autoFilter>
  <tableColumns count="2">
    <tableColumn id="1" xr3:uid="{66EE633F-23D6-4BBD-80F6-5CC54B2F9AE9}" name="Requested Information" dataDxfId="485"/>
    <tableColumn id="2" xr3:uid="{51D2813D-1688-4AB1-9862-7AB4E013224E}" name="Response" dataDxfId="484"/>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1BC1BDC-610D-408E-BF07-D283E26BC45C}" name="Eng5_Parameters" displayName="Eng5_Parameters" ref="A13:D26" totalsRowShown="0" headerRowDxfId="483" headerRowBorderDxfId="482" tableBorderDxfId="481" totalsRowBorderDxfId="480">
  <autoFilter ref="A13:D26" xr:uid="{3C574C5F-2D6C-4234-8958-674FC35E63AE}">
    <filterColumn colId="0" hiddenButton="1"/>
    <filterColumn colId="1" hiddenButton="1"/>
    <filterColumn colId="2" hiddenButton="1"/>
    <filterColumn colId="3" hiddenButton="1"/>
  </autoFilter>
  <tableColumns count="4">
    <tableColumn id="1" xr3:uid="{79815B46-825B-4DAF-91B5-24BA98981352}" name="Parameter" dataDxfId="479"/>
    <tableColumn id="2" xr3:uid="{AE86660F-57F1-45DB-8112-C5042C2057E2}" name="Value" dataDxfId="478"/>
    <tableColumn id="3" xr3:uid="{EED038FF-C067-4806-9F5C-F61F16C077D2}" name="Minimum" dataDxfId="477"/>
    <tableColumn id="4" xr3:uid="{DEC224BE-E04B-499B-940C-D011BF16FAF2}" name="Maximum" dataDxfId="47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D5D210A-19C6-4770-9E60-3C9CF9313C43}" name="PI1_Technical_Contact" displayName="PI1_Technical_Contact" ref="A26:B39" totalsRowShown="0" headerRowDxfId="636" headerRowBorderDxfId="635" tableBorderDxfId="634" headerRowCellStyle="Normal 6">
  <autoFilter ref="A26:B39" xr:uid="{007D2C17-124E-453F-8933-63C62D955431}">
    <filterColumn colId="0" hiddenButton="1"/>
    <filterColumn colId="1" hiddenButton="1"/>
  </autoFilter>
  <tableColumns count="2">
    <tableColumn id="1" xr3:uid="{EE0FF53E-1DE8-46C3-BD32-B8405C97D098}" name="Requested Information" dataDxfId="633" dataCellStyle="Normal 6"/>
    <tableColumn id="2" xr3:uid="{7ECBE654-4E2F-4D75-A11B-3E3C1B71908E}" name="Response" dataDxfId="632" dataCellStyle="Normal 6"/>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F8029CE-47F1-4301-8E11-39CCACF0081B}" name="Eng5_Emissions" displayName="Eng5_Emissions" ref="A42:E51" totalsRowShown="0" headerRowDxfId="475" tableBorderDxfId="474">
  <autoFilter ref="A42:E51" xr:uid="{BC4DF9A3-DE08-4972-A246-B8CF7003B49B}">
    <filterColumn colId="0" hiddenButton="1"/>
    <filterColumn colId="1" hiddenButton="1"/>
    <filterColumn colId="2" hiddenButton="1"/>
    <filterColumn colId="3" hiddenButton="1"/>
    <filterColumn colId="4" hiddenButton="1"/>
  </autoFilter>
  <tableColumns count="5">
    <tableColumn id="1" xr3:uid="{F9867250-D311-4569-B37C-7A0D9CB229ED}" name="Pollutant" dataDxfId="473"/>
    <tableColumn id="4" xr3:uid="{74B5313C-F502-425B-8279-3511B7FD5C2D}" name="lb/hr" dataDxfId="472"/>
    <tableColumn id="5" xr3:uid="{30732B40-3625-425B-872C-458BF388912F}" name="lb/hr max*" dataDxfId="471"/>
    <tableColumn id="6" xr3:uid="{5680055F-E832-48B7-BE84-836C48D04D29}" name="tpy" dataDxfId="470">
      <calculatedColumnFormula>B43*$B$25/2000</calculatedColumnFormula>
    </tableColumn>
    <tableColumn id="7" xr3:uid="{74F30661-47C2-4019-8D03-848314F4368D}" name="tpy max**" dataDxfId="469"/>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B2B05408-CFAC-4C04-BF2A-989A1F395E4C}" name="Eng5_Emiss_Factor" displayName="Eng5_Emiss_Factor" ref="A29:D38" totalsRowShown="0" headerRowBorderDxfId="468" tableBorderDxfId="467" totalsRowBorderDxfId="466">
  <autoFilter ref="A29:D38" xr:uid="{B2B05408-CFAC-4C04-BF2A-989A1F395E4C}">
    <filterColumn colId="0" hiddenButton="1"/>
    <filterColumn colId="1" hiddenButton="1"/>
    <filterColumn colId="2" hiddenButton="1"/>
    <filterColumn colId="3" hiddenButton="1"/>
  </autoFilter>
  <tableColumns count="4">
    <tableColumn id="1" xr3:uid="{020F811A-6789-420C-BBA0-BC974A516A27}" name="Pollutant" dataDxfId="465"/>
    <tableColumn id="2" xr3:uid="{6FAF0EB3-57F9-42B4-B556-23ABEDE924AC}" name="Emission Factor " dataDxfId="464"/>
    <tableColumn id="3" xr3:uid="{534178A1-2941-4D31-B3CB-878EEFD939C0}" name="EF Unit" dataDxfId="463"/>
    <tableColumn id="4" xr3:uid="{D27808DF-C500-45CF-85A3-08E16BBD0D96}" name="Source of Emission Factor" dataDxfId="462" dataCellStyle="InputCell"/>
  </tableColumns>
  <tableStyleInfo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7D06056-4708-49A8-A954-4A383EBFD8D6}" name="Eng6_General" displayName="Eng6_General" ref="A5:B10" totalsRowShown="0" headerRowBorderDxfId="461" tableBorderDxfId="460">
  <autoFilter ref="A5:B10" xr:uid="{11C809A6-1F7B-47C5-AE10-C7168A1C06B2}">
    <filterColumn colId="0" hiddenButton="1"/>
    <filterColumn colId="1" hiddenButton="1"/>
  </autoFilter>
  <tableColumns count="2">
    <tableColumn id="1" xr3:uid="{F2E255D0-5164-4A57-BFD8-0E9AE0107F01}" name="Requested Information" dataDxfId="459"/>
    <tableColumn id="2" xr3:uid="{C98AFEAD-96B3-4CCE-B145-3F48AE44E7AF}" name="Response" dataDxfId="458"/>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9800AD5-3B2C-456E-8234-DBBFDFEA15A0}" name="Eng6_Parameters" displayName="Eng6_Parameters" ref="A13:D26" totalsRowShown="0" headerRowDxfId="457" headerRowBorderDxfId="456" tableBorderDxfId="455" totalsRowBorderDxfId="454">
  <autoFilter ref="A13:D26" xr:uid="{D96E9FF1-5A65-4135-8AC5-8FE754BC2A82}">
    <filterColumn colId="0" hiddenButton="1"/>
    <filterColumn colId="1" hiddenButton="1"/>
    <filterColumn colId="2" hiddenButton="1"/>
    <filterColumn colId="3" hiddenButton="1"/>
  </autoFilter>
  <tableColumns count="4">
    <tableColumn id="1" xr3:uid="{3AEFAF4E-C9A9-4609-B6FC-B2E21647DC29}" name="Parameter" dataDxfId="453"/>
    <tableColumn id="2" xr3:uid="{7CE8D419-05BC-49E7-8D60-D1E22F1C2F80}" name="Value" dataDxfId="452"/>
    <tableColumn id="3" xr3:uid="{5C269536-D65F-4609-BB30-2BC68041F7D1}" name="Minimum" dataDxfId="451"/>
    <tableColumn id="4" xr3:uid="{21CC13CA-1CEF-431B-B53D-8A413235976A}" name="Maximum" dataDxfId="450"/>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12D8D07-00F5-413D-894F-CD4C2147675C}" name="Eng6_Emissions" displayName="Eng6_Emissions" ref="A42:E51" totalsRowShown="0" headerRowDxfId="449" tableBorderDxfId="448">
  <autoFilter ref="A42:E51" xr:uid="{8323F1A0-70D0-4612-8574-ABCC35106B3E}">
    <filterColumn colId="0" hiddenButton="1"/>
    <filterColumn colId="1" hiddenButton="1"/>
    <filterColumn colId="2" hiddenButton="1"/>
    <filterColumn colId="3" hiddenButton="1"/>
    <filterColumn colId="4" hiddenButton="1"/>
  </autoFilter>
  <tableColumns count="5">
    <tableColumn id="1" xr3:uid="{9BBB5ABB-C664-4A32-B312-34D405607B16}" name="Pollutant" dataDxfId="447"/>
    <tableColumn id="4" xr3:uid="{E4B94CD8-C997-4EC8-B02E-3D6E6D56C327}" name="lb/hr" dataDxfId="446"/>
    <tableColumn id="5" xr3:uid="{7C124917-CA3E-4029-AB1A-0F679C15F1DD}" name="lb/hr max*" dataDxfId="445"/>
    <tableColumn id="6" xr3:uid="{97CD8FBE-40E4-4A14-B96E-B68E3A6E11DB}" name="tpy" dataDxfId="444">
      <calculatedColumnFormula>B43*$B$25/2000</calculatedColumnFormula>
    </tableColumn>
    <tableColumn id="7" xr3:uid="{FD171730-1395-48BC-9C39-C6C91E354269}" name="tpy max**" dataDxfId="443"/>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63E49862-F0E4-4204-ACBC-97525D78E8D8}" name="Eng6_Emiss_Factor" displayName="Eng6_Emiss_Factor" ref="A29:D38" totalsRowShown="0" headerRowBorderDxfId="442" tableBorderDxfId="441" totalsRowBorderDxfId="440">
  <autoFilter ref="A29:D38" xr:uid="{63E49862-F0E4-4204-ACBC-97525D78E8D8}">
    <filterColumn colId="0" hiddenButton="1"/>
    <filterColumn colId="1" hiddenButton="1"/>
    <filterColumn colId="2" hiddenButton="1"/>
    <filterColumn colId="3" hiddenButton="1"/>
  </autoFilter>
  <tableColumns count="4">
    <tableColumn id="1" xr3:uid="{67BDCA36-6ADC-4DB0-8E80-9E7B4C0CFE16}" name="Pollutant" dataDxfId="439"/>
    <tableColumn id="2" xr3:uid="{96F1DF52-5F92-4677-A4A0-84B88CE2C4EA}" name="Emission Factor " dataDxfId="438"/>
    <tableColumn id="3" xr3:uid="{B1DD9997-BB9C-499F-95D9-8ECB86843778}" name="EF Unit" dataDxfId="437"/>
    <tableColumn id="4" xr3:uid="{65E1B8A7-6B1C-4872-86CE-D24362D7CAC0}" name="Source of Emission Factor" dataDxfId="436" dataCellStyle="InputCell"/>
  </tableColumns>
  <tableStyleInfo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C217844-A605-4F3D-8A1C-1974B0C9EC0A}" name="Eng7_General" displayName="Eng7_General" ref="A5:B10" totalsRowShown="0" headerRowBorderDxfId="435" tableBorderDxfId="434">
  <autoFilter ref="A5:B10" xr:uid="{9927ED70-F799-484D-BEFD-9FCB35643C97}">
    <filterColumn colId="0" hiddenButton="1"/>
    <filterColumn colId="1" hiddenButton="1"/>
  </autoFilter>
  <tableColumns count="2">
    <tableColumn id="1" xr3:uid="{C3A3A2D1-9B5F-4C1A-A234-7318E679164E}" name="Requested Information" dataDxfId="433"/>
    <tableColumn id="2" xr3:uid="{DC33BF2A-0F27-46B1-93B0-A2476F6EB213}" name="Response" dataDxfId="432"/>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D41DE81-473D-4BFD-8740-34EB9D91BDA4}" name="Eng7_Parameters" displayName="Eng7_Parameters" ref="A13:D26" totalsRowShown="0" headerRowDxfId="431" headerRowBorderDxfId="430" tableBorderDxfId="429" totalsRowBorderDxfId="428">
  <autoFilter ref="A13:D26" xr:uid="{AF7C7487-E29E-4529-A73C-DA4CA769BDB0}">
    <filterColumn colId="0" hiddenButton="1"/>
    <filterColumn colId="1" hiddenButton="1"/>
    <filterColumn colId="2" hiddenButton="1"/>
    <filterColumn colId="3" hiddenButton="1"/>
  </autoFilter>
  <tableColumns count="4">
    <tableColumn id="1" xr3:uid="{2673EEC4-A4E6-400D-9342-99A44383614F}" name="Parameter" dataDxfId="427"/>
    <tableColumn id="2" xr3:uid="{FB24AD31-DC66-4423-8BDD-16CF8F35F4E1}" name="Value" dataDxfId="426"/>
    <tableColumn id="3" xr3:uid="{FC321084-FCAA-414A-86F4-E2E452ADF365}" name="Minimum" dataDxfId="425"/>
    <tableColumn id="4" xr3:uid="{E9ED3E76-3C54-46E3-8161-B241578466C5}" name="Maximum" dataDxfId="424"/>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8EC24D4-E26C-41A8-8F08-351D0B21B2CD}" name="Eng7_Emissions" displayName="Eng7_Emissions" ref="A42:E51" totalsRowShown="0" headerRowDxfId="423" tableBorderDxfId="422">
  <autoFilter ref="A42:E51" xr:uid="{3BB33702-EF8E-472A-B423-838990F8CC15}">
    <filterColumn colId="0" hiddenButton="1"/>
    <filterColumn colId="1" hiddenButton="1"/>
    <filterColumn colId="2" hiddenButton="1"/>
    <filterColumn colId="3" hiddenButton="1"/>
    <filterColumn colId="4" hiddenButton="1"/>
  </autoFilter>
  <tableColumns count="5">
    <tableColumn id="1" xr3:uid="{0431B622-A303-4A64-ADFC-4EA619F16A64}" name="Pollutant" dataDxfId="421"/>
    <tableColumn id="4" xr3:uid="{33D47A6E-0250-4BF8-A371-E47319695367}" name="lb/hr" dataDxfId="420"/>
    <tableColumn id="5" xr3:uid="{8F2D9B02-DEE2-402F-A8C2-DFFFF4865436}" name="lb/hr max*" dataDxfId="419"/>
    <tableColumn id="6" xr3:uid="{D61D29F5-E61F-43BB-A47F-6A1CDAE12F8D}" name="tpy" dataDxfId="418">
      <calculatedColumnFormula>B43*$B$25/2000</calculatedColumnFormula>
    </tableColumn>
    <tableColumn id="7" xr3:uid="{BF58C41B-EE23-4C78-A97E-81F9044DAF87}" name="tpy max**" dataDxfId="417"/>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D0ABDA47-2510-42E7-BF44-9EBA9BDAFCCC}" name="Eng7_Emiss_Factor" displayName="Eng7_Emiss_Factor" ref="A29:D38" totalsRowShown="0" headerRowBorderDxfId="416" tableBorderDxfId="415" totalsRowBorderDxfId="414">
  <autoFilter ref="A29:D38" xr:uid="{D0ABDA47-2510-42E7-BF44-9EBA9BDAFCCC}">
    <filterColumn colId="0" hiddenButton="1"/>
    <filterColumn colId="1" hiddenButton="1"/>
    <filterColumn colId="2" hiddenButton="1"/>
    <filterColumn colId="3" hiddenButton="1"/>
  </autoFilter>
  <tableColumns count="4">
    <tableColumn id="1" xr3:uid="{DD2ABFE9-8B7C-4156-BA92-AE8D61A31FAD}" name="Pollutant" dataDxfId="413"/>
    <tableColumn id="2" xr3:uid="{2BAC4E82-29E2-438B-959C-AF75902D5E60}" name="Emission Factor " dataDxfId="412"/>
    <tableColumn id="3" xr3:uid="{3EF7DAB4-BD9E-4A66-A00A-88C7388E39C4}" name="EF Unit" dataDxfId="411"/>
    <tableColumn id="4" xr3:uid="{DF1C5986-B535-40AE-AC89-BEADF1884E1F}" name="Source of Emission Factor" dataDxfId="410" dataCellStyle="InputCell"/>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68B9E40-28BA-4E5E-9FA6-3E77DF4E2531}" name="PI1_Assigned_Numbers" displayName="PI1_Assigned_Numbers" ref="A41:B45" totalsRowShown="0" headerRowDxfId="631" headerRowBorderDxfId="630" tableBorderDxfId="629" headerRowCellStyle="Normal 6">
  <autoFilter ref="A41:B45" xr:uid="{C9AF4973-A9C4-4833-8B10-5373F22B0CD4}">
    <filterColumn colId="0" hiddenButton="1"/>
    <filterColumn colId="1" hiddenButton="1"/>
  </autoFilter>
  <tableColumns count="2">
    <tableColumn id="1" xr3:uid="{0FAED904-4AC9-40B4-9637-6CBA4B2451F7}" name="Requested Information" dataDxfId="628" dataCellStyle="Normal 6"/>
    <tableColumn id="2" xr3:uid="{F7D98028-9B5F-4F48-9965-88CDB5034778}" name="Response" dataDxfId="627" dataCellStyle="Normal 6"/>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38CC6F8-ACBA-49A9-BF44-5FF537251A40}" name="Eng8_General" displayName="Eng8_General" ref="A5:B10" totalsRowShown="0" headerRowBorderDxfId="409" tableBorderDxfId="408">
  <autoFilter ref="A5:B10" xr:uid="{C782BA58-12B1-4C11-81AB-5747229C0219}">
    <filterColumn colId="0" hiddenButton="1"/>
    <filterColumn colId="1" hiddenButton="1"/>
  </autoFilter>
  <tableColumns count="2">
    <tableColumn id="1" xr3:uid="{948B1F58-6677-4CCF-A43B-A0CC6886431D}" name="Requested Information" dataDxfId="407"/>
    <tableColumn id="2" xr3:uid="{7CFA4FF8-0A4C-4ABF-B34E-F171A6AE8BF0}" name="Response" dataDxfId="406"/>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2D7402C-DB66-4F18-8C6C-67159476E98A}" name="Eng8_Parameters" displayName="Eng8_Parameters" ref="A13:D26" totalsRowShown="0" headerRowDxfId="405" headerRowBorderDxfId="404" tableBorderDxfId="403" totalsRowBorderDxfId="402">
  <autoFilter ref="A13:D26" xr:uid="{2B02B5F1-2690-4D9A-B66C-0457F849678B}">
    <filterColumn colId="0" hiddenButton="1"/>
    <filterColumn colId="1" hiddenButton="1"/>
    <filterColumn colId="2" hiddenButton="1"/>
    <filterColumn colId="3" hiddenButton="1"/>
  </autoFilter>
  <tableColumns count="4">
    <tableColumn id="1" xr3:uid="{8F274326-3794-4723-8BE8-5B462D7A0107}" name="Parameter" dataDxfId="401"/>
    <tableColumn id="2" xr3:uid="{BEBD3653-8351-43C5-A7F9-6100FD41C9E5}" name="Value" dataDxfId="400"/>
    <tableColumn id="3" xr3:uid="{F6C91BA9-0954-41CD-BD8A-8ACBC8CDA06D}" name="Minimum" dataDxfId="399"/>
    <tableColumn id="4" xr3:uid="{443DB5C3-4C50-4813-B17B-F5594C2C091F}" name="Maximum" dataDxfId="398"/>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BFE1C8BB-C832-4114-926D-8997CBEBE991}" name="Eng8_Emissions" displayName="Eng8_Emissions" ref="A42:E51" totalsRowShown="0" headerRowDxfId="397" tableBorderDxfId="396">
  <autoFilter ref="A42:E51" xr:uid="{2D3F8DA4-4819-47BB-B4D8-A9368BDCC00B}">
    <filterColumn colId="0" hiddenButton="1"/>
    <filterColumn colId="1" hiddenButton="1"/>
    <filterColumn colId="2" hiddenButton="1"/>
    <filterColumn colId="3" hiddenButton="1"/>
    <filterColumn colId="4" hiddenButton="1"/>
  </autoFilter>
  <tableColumns count="5">
    <tableColumn id="1" xr3:uid="{06B3017D-C48A-4A9A-A628-3574952AFE18}" name="Pollutant" dataDxfId="395"/>
    <tableColumn id="4" xr3:uid="{4CCA01F2-E635-42C0-B93D-26222A2D12D6}" name="lb/hr" dataDxfId="394"/>
    <tableColumn id="5" xr3:uid="{860C7C1A-6ED8-4054-A8DB-9B70B860D7AD}" name="lb/hr max*" dataDxfId="393"/>
    <tableColumn id="6" xr3:uid="{CDC12B87-DF2B-46DC-B9ED-1862B7394A0D}" name="tpy" dataDxfId="392">
      <calculatedColumnFormula>B43*$B$25/2000</calculatedColumnFormula>
    </tableColumn>
    <tableColumn id="7" xr3:uid="{9FE283FD-AFBC-4A5F-81F6-EA5CE92D3382}" name="tpy max**" dataDxfId="391"/>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28399F39-5550-41FB-A0C4-6ED424B9EA59}" name="Eng8_Emiss_Factor" displayName="Eng8_Emiss_Factor" ref="A29:D38" totalsRowShown="0" headerRowBorderDxfId="390" tableBorderDxfId="389" totalsRowBorderDxfId="388">
  <autoFilter ref="A29:D38" xr:uid="{28399F39-5550-41FB-A0C4-6ED424B9EA59}">
    <filterColumn colId="0" hiddenButton="1"/>
    <filterColumn colId="1" hiddenButton="1"/>
    <filterColumn colId="2" hiddenButton="1"/>
    <filterColumn colId="3" hiddenButton="1"/>
  </autoFilter>
  <tableColumns count="4">
    <tableColumn id="1" xr3:uid="{4DEEA7F0-D49C-4AE7-BC9B-D0AB910365E5}" name="Pollutant" dataDxfId="387"/>
    <tableColumn id="2" xr3:uid="{85AF2BCF-6F05-421C-8F66-233C9BF54C5B}" name="Emission Factor " dataDxfId="386"/>
    <tableColumn id="3" xr3:uid="{F1D36654-B2DC-4D83-BA47-B30B29F5E475}" name="EF Unit" dataDxfId="385"/>
    <tableColumn id="4" xr3:uid="{AE354341-B6EC-4693-A653-3B003C0CD73E}" name="Source of Emission Factor" dataDxfId="384" dataCellStyle="InputCell"/>
  </tableColumns>
  <tableStyleInfo showFirstColumn="0" showLastColumn="0" showRowStripes="0"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CDDB261-0115-492F-A694-4D7F1A8A01E3}" name="Eng9_General" displayName="Eng9_General" ref="A5:B10" totalsRowShown="0" headerRowBorderDxfId="383" tableBorderDxfId="382">
  <autoFilter ref="A5:B10" xr:uid="{86B11DF9-712A-4BC6-8B4C-802A447BE67F}">
    <filterColumn colId="0" hiddenButton="1"/>
    <filterColumn colId="1" hiddenButton="1"/>
  </autoFilter>
  <tableColumns count="2">
    <tableColumn id="1" xr3:uid="{F2FDD1A2-1755-4A55-BBFF-2B99E32480E1}" name="Requested Information" dataDxfId="381"/>
    <tableColumn id="2" xr3:uid="{C705097D-D0AA-42C5-90B6-6C223F5900BC}" name="Response" dataDxfId="380"/>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ADAEBB91-D315-47F0-8746-D994D7622CBE}" name="Eng9_Parameters" displayName="Eng9_Parameters" ref="A13:D26" totalsRowShown="0" headerRowDxfId="379" headerRowBorderDxfId="378" tableBorderDxfId="377" totalsRowBorderDxfId="376">
  <autoFilter ref="A13:D26" xr:uid="{85991E05-0088-4792-976D-76861D57243B}">
    <filterColumn colId="0" hiddenButton="1"/>
    <filterColumn colId="1" hiddenButton="1"/>
    <filterColumn colId="2" hiddenButton="1"/>
    <filterColumn colId="3" hiddenButton="1"/>
  </autoFilter>
  <tableColumns count="4">
    <tableColumn id="1" xr3:uid="{F0C3F9B6-A260-4B4E-84DE-C74D4CAAFBD1}" name="Parameter" dataDxfId="375"/>
    <tableColumn id="2" xr3:uid="{08631C8E-4FE7-4613-9B11-0564193775DA}" name="Value" dataDxfId="374"/>
    <tableColumn id="3" xr3:uid="{746D2730-A213-457D-AEF2-3B7B139914DA}" name="Minimum" dataDxfId="373"/>
    <tableColumn id="4" xr3:uid="{93EB2A62-9AB7-47AC-83C9-1FE872E7836B}" name="Maximum" dataDxfId="372"/>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13C874B-1A3F-4D60-9E3E-D705B7852F87}" name="Eng9_Emissions" displayName="Eng9_Emissions" ref="A42:E51" totalsRowShown="0" headerRowDxfId="371" tableBorderDxfId="370">
  <autoFilter ref="A42:E51" xr:uid="{68CA487F-6709-4C5D-88F0-0218164F5207}">
    <filterColumn colId="0" hiddenButton="1"/>
    <filterColumn colId="1" hiddenButton="1"/>
    <filterColumn colId="2" hiddenButton="1"/>
    <filterColumn colId="3" hiddenButton="1"/>
    <filterColumn colId="4" hiddenButton="1"/>
  </autoFilter>
  <tableColumns count="5">
    <tableColumn id="1" xr3:uid="{B76A997C-EDE6-4935-9E24-94ADEA9F4AE1}" name="Pollutant" dataDxfId="369"/>
    <tableColumn id="4" xr3:uid="{A637A2AC-68E0-442B-B926-3BF8662FFBFD}" name="lb/hr" dataDxfId="368"/>
    <tableColumn id="5" xr3:uid="{7F6B02ED-340E-4AF4-912C-FC89E38689BE}" name="lb/hr max*" dataDxfId="367"/>
    <tableColumn id="6" xr3:uid="{F1E71BC8-7F5A-42B4-8157-97ACA0E62DD2}" name="tpy" dataDxfId="366">
      <calculatedColumnFormula>B43*$B$25/2000</calculatedColumnFormula>
    </tableColumn>
    <tableColumn id="7" xr3:uid="{79ADB768-252F-42A5-97E7-8A2C16493B9E}" name="tpy max**" dataDxfId="365"/>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1578F5E0-E546-4611-A88C-2A92BA208FCA}" name="Eng9_Emiss_Factor" displayName="Eng9_Emiss_Factor" ref="A29:D38" totalsRowShown="0" headerRowBorderDxfId="364" tableBorderDxfId="363" totalsRowBorderDxfId="362">
  <autoFilter ref="A29:D38" xr:uid="{1578F5E0-E546-4611-A88C-2A92BA208FCA}">
    <filterColumn colId="0" hiddenButton="1"/>
    <filterColumn colId="1" hiddenButton="1"/>
    <filterColumn colId="2" hiddenButton="1"/>
    <filterColumn colId="3" hiddenButton="1"/>
  </autoFilter>
  <tableColumns count="4">
    <tableColumn id="1" xr3:uid="{67D2A66D-08FD-487E-B285-B39E6CB193E7}" name="Pollutant" dataDxfId="361"/>
    <tableColumn id="2" xr3:uid="{2E870DD8-C427-4AE0-A11F-18F70C1DDD76}" name="Emission Factor " dataDxfId="360"/>
    <tableColumn id="3" xr3:uid="{D2BD35DD-7A4B-4382-AA8F-76252473A02B}" name="EF Unit" dataDxfId="359"/>
    <tableColumn id="4" xr3:uid="{478021FA-3EBA-4B89-881A-1F2D87DE36EA}" name="Source of Emission Factor" dataDxfId="358" dataCellStyle="InputCell"/>
  </tableColumns>
  <tableStyleInfo showFirstColumn="0" showLastColumn="0" showRowStripes="0"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F4E3408-C992-4843-AC87-1A45F76DCBCA}" name="Eng10_General" displayName="Eng10_General" ref="A5:B10" totalsRowShown="0" headerRowBorderDxfId="357" tableBorderDxfId="356">
  <autoFilter ref="A5:B10" xr:uid="{F6BD2E4F-2D7E-4D55-8617-6A9F18AA82A3}">
    <filterColumn colId="0" hiddenButton="1"/>
    <filterColumn colId="1" hiddenButton="1"/>
  </autoFilter>
  <tableColumns count="2">
    <tableColumn id="1" xr3:uid="{9C1CBE79-A19F-489F-B54C-CEC15AC34830}" name="Requested Information" dataDxfId="355"/>
    <tableColumn id="2" xr3:uid="{F6A35276-47EC-411E-8B40-CEC92BEA1175}" name="Response" dataDxfId="354"/>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4452196-E768-47F8-99AF-BB7CF3F1DC1D}" name="Eng10_Parameters" displayName="Eng10_Parameters" ref="A13:D26" totalsRowShown="0" headerRowDxfId="353" headerRowBorderDxfId="352" tableBorderDxfId="351" totalsRowBorderDxfId="350">
  <autoFilter ref="A13:D26" xr:uid="{ABA265BA-DD72-4F0A-BDC9-3671A6156EA4}">
    <filterColumn colId="0" hiddenButton="1"/>
    <filterColumn colId="1" hiddenButton="1"/>
    <filterColumn colId="2" hiddenButton="1"/>
    <filterColumn colId="3" hiddenButton="1"/>
  </autoFilter>
  <tableColumns count="4">
    <tableColumn id="1" xr3:uid="{311FA1A8-FD47-459A-9088-D3EF81A27E88}" name="Parameter" dataDxfId="349"/>
    <tableColumn id="2" xr3:uid="{E5C47CB2-24C7-4A41-9B05-B866CA0D8C08}" name="Value" dataDxfId="348"/>
    <tableColumn id="3" xr3:uid="{96410703-43C4-4A70-9926-01E08B6E5E15}" name="Minimum" dataDxfId="347"/>
    <tableColumn id="4" xr3:uid="{0C3123B0-BD36-489F-9E2D-CB72AF9FF8DD}" name="Maximum" dataDxfId="34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6E1C84E-1B54-472E-AB9D-092A20186559}" name="PI1_Facility_Information" displayName="PI1_Facility_Information" ref="A49:B54" totalsRowShown="0" headerRowDxfId="626" headerRowBorderDxfId="625" tableBorderDxfId="624" headerRowCellStyle="Normal 6">
  <autoFilter ref="A49:B54" xr:uid="{02CBD76C-45EA-4B81-8094-E9419A8F6113}">
    <filterColumn colId="0" hiddenButton="1"/>
    <filterColumn colId="1" hiddenButton="1"/>
  </autoFilter>
  <tableColumns count="2">
    <tableColumn id="1" xr3:uid="{234C75EB-EB04-478C-92F8-E80256E48491}" name="Requested Information" dataDxfId="623" dataCellStyle="Normal 6"/>
    <tableColumn id="2" xr3:uid="{90B7E7A9-E1E1-44D1-A324-8F4FCA5C3041}" name="Response" dataDxfId="622" dataCellStyle="Normal 6"/>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E9A16D03-F7AF-41B6-8016-BA91E06B1288}" name="Eng10_Emissions" displayName="Eng10_Emissions" ref="A42:E51" totalsRowShown="0" headerRowDxfId="345" tableBorderDxfId="344">
  <autoFilter ref="A42:E51" xr:uid="{AD53EC3B-C461-44F0-83CC-B1897EB5196D}">
    <filterColumn colId="0" hiddenButton="1"/>
    <filterColumn colId="1" hiddenButton="1"/>
    <filterColumn colId="2" hiddenButton="1"/>
    <filterColumn colId="3" hiddenButton="1"/>
    <filterColumn colId="4" hiddenButton="1"/>
  </autoFilter>
  <tableColumns count="5">
    <tableColumn id="1" xr3:uid="{D5C24C04-FE41-4D42-9DEC-96282F0EA51C}" name="Pollutant" dataDxfId="343"/>
    <tableColumn id="4" xr3:uid="{CD0EC479-BE7E-4D06-8877-6C6930155C51}" name="lb/hr" dataDxfId="342"/>
    <tableColumn id="5" xr3:uid="{F1CA712F-66C1-4ECB-A315-63C177C700AD}" name="lb/hr max*" dataDxfId="341"/>
    <tableColumn id="6" xr3:uid="{A6AF2742-A825-482F-BE50-7C87BF2BCC3A}" name="tpy" dataDxfId="340">
      <calculatedColumnFormula>B43*$B$25/2000</calculatedColumnFormula>
    </tableColumn>
    <tableColumn id="7" xr3:uid="{6F2170B0-AFE3-4065-8DDD-29C39DBF4F9D}" name="tpy max**" dataDxfId="339"/>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416480FC-912B-4FA7-8750-B5880EA3DC6B}" name="Eng10_Emiss_Factor" displayName="Eng10_Emiss_Factor" ref="A29:D38" totalsRowShown="0" headerRowBorderDxfId="338" tableBorderDxfId="337" totalsRowBorderDxfId="336">
  <autoFilter ref="A29:D38" xr:uid="{416480FC-912B-4FA7-8750-B5880EA3DC6B}">
    <filterColumn colId="0" hiddenButton="1"/>
    <filterColumn colId="1" hiddenButton="1"/>
    <filterColumn colId="2" hiddenButton="1"/>
    <filterColumn colId="3" hiddenButton="1"/>
  </autoFilter>
  <tableColumns count="4">
    <tableColumn id="1" xr3:uid="{5E6FF9E4-ED52-4916-932F-D0CFC143A96C}" name="Pollutant" dataDxfId="335"/>
    <tableColumn id="2" xr3:uid="{20080BE1-86B6-4F7F-9434-69DB47A7E2C2}" name="Emission Factor " dataDxfId="334"/>
    <tableColumn id="3" xr3:uid="{22D35A0F-8768-4258-9667-85CBC7448BB6}" name="EF Unit" dataDxfId="333"/>
    <tableColumn id="4" xr3:uid="{44A72BB6-8B4C-42E0-AB61-94BF67AD1BE1}" name="Source of Emission Factor" dataDxfId="332" dataCellStyle="InputCell"/>
  </tableColumns>
  <tableStyleInfo showFirstColumn="0" showLastColumn="0" showRowStripes="0"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489AF51A-C6AA-42B2-84EC-D1F8F4D9EAD4}" name="EngSum_EPNInfo" displayName="EngSum_EPNInfo" ref="A5:B11" totalsRowShown="0" headerRowDxfId="331" headerRowBorderDxfId="330" tableBorderDxfId="329">
  <autoFilter ref="A5:B11" xr:uid="{489AF51A-C6AA-42B2-84EC-D1F8F4D9EAD4}">
    <filterColumn colId="0" hiddenButton="1"/>
    <filterColumn colId="1" hiddenButton="1"/>
  </autoFilter>
  <tableColumns count="2">
    <tableColumn id="1" xr3:uid="{14689434-F70E-45ED-9837-11D66FD0B5FB}" name="Requested Information"/>
    <tableColumn id="2" xr3:uid="{5A16347D-4FB3-4EA0-89E4-8294C1724304}" name="Response"/>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47199B13-D02F-4CF2-B877-F1CA9F2DC165}" name="EngSum_AnHr" displayName="EngSum_AnHr" ref="A14:C24" totalsRowShown="0" headerRowBorderDxfId="328" tableBorderDxfId="327" totalsRowBorderDxfId="326">
  <autoFilter ref="A14:C24" xr:uid="{47199B13-D02F-4CF2-B877-F1CA9F2DC165}">
    <filterColumn colId="0" hiddenButton="1"/>
    <filterColumn colId="1" hiddenButton="1"/>
    <filterColumn colId="2" hiddenButton="1"/>
  </autoFilter>
  <tableColumns count="3">
    <tableColumn id="1" xr3:uid="{8EE2FB56-E9C5-4E4B-B89E-CEFF536EB51C}" name="Sheet ID" dataDxfId="325"/>
    <tableColumn id="2" xr3:uid="{5BF426EE-3B93-4F99-BE4A-EF8941646F1A}" name="FIN" dataDxfId="324"/>
    <tableColumn id="3" xr3:uid="{7819FF95-3E28-4693-905C-F4BAD5B79F08}" name="Annual operating hours (hr/yr)" dataDxfId="323"/>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6C228067-C59F-4E1E-8A0F-37F17E9BFEA5}" name="EngSum_ST" displayName="EngSum_ST" ref="A28:K38" totalsRowShown="0" headerRowDxfId="322" dataDxfId="320" headerRowBorderDxfId="321" tableBorderDxfId="319" totalsRowBorderDxfId="318">
  <autoFilter ref="A28:K38" xr:uid="{6C228067-C59F-4E1E-8A0F-37F17E9BFE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6677FA11-1C59-4C88-AF9A-577906F5BEE5}" name="Sheet ID" dataDxfId="317"/>
    <tableColumn id="2" xr3:uid="{7CB35E4E-15F9-4133-9046-9F9AE050B7CD}" name="FIN" dataDxfId="316"/>
    <tableColumn id="3" xr3:uid="{309EEAAE-6FD5-45A5-9DF5-C488240ABC5A}" name="NOx" dataDxfId="315"/>
    <tableColumn id="4" xr3:uid="{FEB435E5-5849-4A09-8E88-41D75CEB12B6}" name="CO" dataDxfId="314"/>
    <tableColumn id="5" xr3:uid="{A11E403A-824D-4EF0-82A4-9C5DA00EE2D1}" name="PM" dataDxfId="313"/>
    <tableColumn id="6" xr3:uid="{EB9C4067-9F29-419F-8E67-18C014C5B161}" name="PM10" dataDxfId="312"/>
    <tableColumn id="7" xr3:uid="{46FAA67F-2C04-4114-B278-559EF66625B2}" name="PM2.5" dataDxfId="311"/>
    <tableColumn id="8" xr3:uid="{AF5AF4FD-C0FA-47C2-8D5A-CDFF889A3B72}" name="VOC" dataDxfId="310"/>
    <tableColumn id="9" xr3:uid="{82751123-BFCE-4B90-BA98-16381F7DC965}" name="SO2" dataDxfId="309"/>
    <tableColumn id="10" xr3:uid="{2AE7F5F9-6B7A-4FEA-9F4B-24E1210718EC}" name="H2SO4" dataDxfId="308"/>
    <tableColumn id="11" xr3:uid="{656F0066-776E-4255-8787-37DA29150B75}" name="NH3" dataDxfId="307"/>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92EC7F72-4DCA-43AF-83FA-B8DB2DEF3595}" name="EngSum_TPY" displayName="EngSum_TPY" ref="A46:K56" totalsRowShown="0" headerRowDxfId="306" dataDxfId="304" headerRowBorderDxfId="305" tableBorderDxfId="303" totalsRowBorderDxfId="302">
  <autoFilter ref="A46:K56" xr:uid="{92EC7F72-4DCA-43AF-83FA-B8DB2DEF35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31FE2CF-2095-4D23-AF27-44B9106CC6DC}" name="Sheet ID" dataDxfId="301"/>
    <tableColumn id="2" xr3:uid="{66E50086-1A07-4E12-A06B-4B4F4C8DE1FC}" name="FIN" dataDxfId="300"/>
    <tableColumn id="3" xr3:uid="{1E3ADDFF-9C5C-4142-982E-AACD0A3D8A7E}" name="NOx" dataDxfId="299"/>
    <tableColumn id="4" xr3:uid="{0545B816-B587-43AC-8F1E-C3AC64716A39}" name="CO" dataDxfId="298"/>
    <tableColumn id="5" xr3:uid="{959DD7E1-458B-4C80-AE3A-22A5F1FE117E}" name="PM" dataDxfId="297"/>
    <tableColumn id="6" xr3:uid="{F91865A7-D111-434C-9584-A3A663E1473F}" name="PM10" dataDxfId="296"/>
    <tableColumn id="7" xr3:uid="{7FA419D0-21B7-4CC3-BD1B-1439A1A1D651}" name="PM2.5" dataDxfId="295"/>
    <tableColumn id="8" xr3:uid="{BD0A6A8C-94A0-45AB-8047-EFBFC019E599}" name="VOC" dataDxfId="294"/>
    <tableColumn id="9" xr3:uid="{ECFEBF0F-3E57-41BB-9A8F-D26DBBEA55EE}" name="SO2" dataDxfId="293"/>
    <tableColumn id="10" xr3:uid="{B6893F3B-5297-4E3A-8007-B7A6C5EDB3F8}" name="H2SO4" dataDxfId="292"/>
    <tableColumn id="11" xr3:uid="{4968C553-B4B1-4213-80DA-23FF956BF462}" name="NH3" dataDxfId="291"/>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D8193A84-C92B-40D3-8A55-1ED89EC050FA}" name="Tank1" displayName="Tank1" ref="A20:B32" totalsRowShown="0" headerRowBorderDxfId="290" tableBorderDxfId="289" totalsRowBorderDxfId="288">
  <autoFilter ref="A20:B32" xr:uid="{D8193A84-C92B-40D3-8A55-1ED89EC050FA}">
    <filterColumn colId="0" hiddenButton="1"/>
    <filterColumn colId="1" hiddenButton="1"/>
  </autoFilter>
  <tableColumns count="2">
    <tableColumn id="1" xr3:uid="{FA3B4226-AA04-4087-82C9-E2654F21449B}" name="Requested Information" dataDxfId="287"/>
    <tableColumn id="2" xr3:uid="{791D40C9-6A3E-48D0-ADA2-A177FFC4E8E5}" name="Response" dataDxfId="286"/>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57018A55-76EF-4AAD-9E96-816B687E3D6B}" name="Tank2" displayName="Tank2" ref="A34:B46" totalsRowShown="0" headerRowBorderDxfId="285" tableBorderDxfId="284" totalsRowBorderDxfId="283">
  <autoFilter ref="A34:B46" xr:uid="{B53F53FB-0ACE-4FC2-8041-9228B60E1A3E}">
    <filterColumn colId="0" hiddenButton="1"/>
    <filterColumn colId="1" hiddenButton="1"/>
  </autoFilter>
  <tableColumns count="2">
    <tableColumn id="1" xr3:uid="{F4446A21-721E-4B46-B801-3981E4090198}" name="Requested Information" dataDxfId="282"/>
    <tableColumn id="2" xr3:uid="{CD5DC885-9E8E-4F81-B456-B2E1A4B2294E}" name="Response" dataDxfId="281"/>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94B111F9-DE59-4124-8BD4-D59ACEC44435}" name="Tank3" displayName="Tank3" ref="A48:B60" totalsRowShown="0" headerRowBorderDxfId="280" tableBorderDxfId="279" totalsRowBorderDxfId="278">
  <autoFilter ref="A48:B60" xr:uid="{E1349536-49D6-4158-B0E5-614170A6C572}">
    <filterColumn colId="0" hiddenButton="1"/>
    <filterColumn colId="1" hiddenButton="1"/>
  </autoFilter>
  <tableColumns count="2">
    <tableColumn id="1" xr3:uid="{DB3F9CEB-DFFA-45C9-8ED0-2807D6EAFA28}" name="Requested Information" dataDxfId="277"/>
    <tableColumn id="2" xr3:uid="{6499B739-1383-4296-B14E-E1A7234A3476}" name="Response" dataDxfId="276"/>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188A60E9-0A88-441F-838E-A00D87A4AD03}" name="Tank4" displayName="Tank4" ref="A62:B74" totalsRowShown="0" headerRowBorderDxfId="275" tableBorderDxfId="274" totalsRowBorderDxfId="273">
  <autoFilter ref="A62:B74" xr:uid="{B1A0BFB8-CCBA-4769-B469-5B8732FEFD8E}">
    <filterColumn colId="0" hiddenButton="1"/>
    <filterColumn colId="1" hiddenButton="1"/>
  </autoFilter>
  <tableColumns count="2">
    <tableColumn id="1" xr3:uid="{36566DD5-0164-41BA-A8A3-C4E2560D2BD4}" name="Requested Information" dataDxfId="272"/>
    <tableColumn id="2" xr3:uid="{FF5D97C0-DBED-4830-8AEB-624FE8DD7484}" name="Response" dataDxfId="27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597480-9077-4B26-97C9-611D3686CCE1}" name="Fee_Direct_Cost" displayName="Fee_Direct_Cost" ref="A12:B20" totalsRowShown="0" headerRowDxfId="621" headerRowBorderDxfId="620" tableBorderDxfId="619" totalsRowBorderDxfId="618" headerRowCellStyle="Normal 6">
  <tableColumns count="2">
    <tableColumn id="1" xr3:uid="{7C03CA72-A1CE-4FAE-B586-5516D3378FEC}" name="Type of Cost" dataDxfId="617" dataCellStyle="Normal 6"/>
    <tableColumn id="2" xr3:uid="{3DE5C499-2867-4A5B-AC76-10485D4FFF68}" name="Amount" dataDxfId="616" dataCellStyle="Currency 2"/>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AA5BDEB-6C0D-4AE2-A496-49412928A5E8}" name="Tank5" displayName="Tank5" ref="A76:B88" totalsRowShown="0" headerRowBorderDxfId="270" tableBorderDxfId="269" totalsRowBorderDxfId="268">
  <autoFilter ref="A76:B88" xr:uid="{36005AFB-078E-457C-A97A-A8B3BC233DFF}">
    <filterColumn colId="0" hiddenButton="1"/>
    <filterColumn colId="1" hiddenButton="1"/>
  </autoFilter>
  <tableColumns count="2">
    <tableColumn id="1" xr3:uid="{FA1F3A37-4F05-47AC-B404-6274D5FB60F7}" name="Requested Information" dataDxfId="267"/>
    <tableColumn id="2" xr3:uid="{9F1E5285-E233-4A1A-BFFB-F228543881D7}" name="Response" dataDxfId="266"/>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8568913-A064-4BA6-8B45-73487241AAD0}" name="Tank6" displayName="Tank6" ref="A90:B102" totalsRowShown="0" headerRowBorderDxfId="265" tableBorderDxfId="264" totalsRowBorderDxfId="263">
  <autoFilter ref="A90:B102" xr:uid="{CA3707B6-5310-47AA-8B11-8212D0829680}">
    <filterColumn colId="0" hiddenButton="1"/>
    <filterColumn colId="1" hiddenButton="1"/>
  </autoFilter>
  <tableColumns count="2">
    <tableColumn id="1" xr3:uid="{D199E73B-1B91-4EE9-A310-4E07A4EA6751}" name="Requested Information" dataDxfId="262"/>
    <tableColumn id="2" xr3:uid="{BBA8910E-25EF-46B1-800B-4E3ACA5BD13C}" name="Response" dataDxfId="261"/>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2661243B-7CAE-483A-AD0F-F12A8A344BAB}" name="Tank7" displayName="Tank7" ref="A104:B116" totalsRowShown="0" headerRowBorderDxfId="260" tableBorderDxfId="259" totalsRowBorderDxfId="258">
  <autoFilter ref="A104:B116" xr:uid="{C5EF8B1D-09A3-41D1-87F8-B044254E2D3A}">
    <filterColumn colId="0" hiddenButton="1"/>
    <filterColumn colId="1" hiddenButton="1"/>
  </autoFilter>
  <tableColumns count="2">
    <tableColumn id="1" xr3:uid="{8081B433-271A-4A2D-A132-2D106020EF5A}" name="Requested Information" dataDxfId="257"/>
    <tableColumn id="2" xr3:uid="{CD557269-FABB-4AA9-84FB-C765CD20D017}" name="Response" dataDxfId="256"/>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86B57C28-E7D5-4AFB-B515-530C6FFD96CE}" name="Tank8" displayName="Tank8" ref="A118:B130" totalsRowShown="0" headerRowBorderDxfId="255" tableBorderDxfId="254" totalsRowBorderDxfId="253">
  <autoFilter ref="A118:B130" xr:uid="{9D60667A-7988-4059-B7E0-3AD3A2CF42B4}">
    <filterColumn colId="0" hiddenButton="1"/>
    <filterColumn colId="1" hiddenButton="1"/>
  </autoFilter>
  <tableColumns count="2">
    <tableColumn id="1" xr3:uid="{F1A56E9B-5406-4A5D-A5A1-109FFF6D7A71}" name="Requested Information" dataDxfId="252"/>
    <tableColumn id="2" xr3:uid="{18B96C39-DA51-4A79-92B5-DAAB72D05BDD}" name="Response" dataDxfId="251"/>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10D7E377-94F3-49EE-9FC2-D9BFD1EA49B4}" name="Tank9" displayName="Tank9" ref="A132:B144" totalsRowShown="0" headerRowBorderDxfId="250" tableBorderDxfId="249" totalsRowBorderDxfId="248">
  <autoFilter ref="A132:B144" xr:uid="{9D0EDE66-439B-42BF-B1CE-A06DC1C00D5C}">
    <filterColumn colId="0" hiddenButton="1"/>
    <filterColumn colId="1" hiddenButton="1"/>
  </autoFilter>
  <tableColumns count="2">
    <tableColumn id="1" xr3:uid="{C1CC9C15-7F61-4183-9D48-417081B46F24}" name="Requested Information" dataDxfId="247"/>
    <tableColumn id="2" xr3:uid="{6CD34E88-5A18-4FE7-BA24-5F66747C4737}" name="Response" dataDxfId="246"/>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D72D7CE5-8786-4378-A4C1-3A18BD6C8142}" name="Tank10" displayName="Tank10" ref="A146:B158" totalsRowShown="0" headerRowBorderDxfId="245" tableBorderDxfId="244" totalsRowBorderDxfId="243">
  <autoFilter ref="A146:B158" xr:uid="{440C6E53-2FFF-4DC5-B227-C4D3036A082D}">
    <filterColumn colId="0" hiddenButton="1"/>
    <filterColumn colId="1" hiddenButton="1"/>
  </autoFilter>
  <tableColumns count="2">
    <tableColumn id="1" xr3:uid="{E636DCFE-7F3D-48BB-9263-F931BEA2E0DE}" name="Requested Information" dataDxfId="242"/>
    <tableColumn id="2" xr3:uid="{9CCC738E-9490-4945-9D83-ED763493603C}" name="Response" dataDxfId="241"/>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F1159146-DB80-4B16-B449-09EE2BB2DDE9}" name="Tank_Cap" displayName="Tank_Cap" ref="A5:B15" totalsRowShown="0" headerRowBorderDxfId="240" tableBorderDxfId="239">
  <autoFilter ref="A5:B15" xr:uid="{F1159146-DB80-4B16-B449-09EE2BB2DDE9}">
    <filterColumn colId="0" hiddenButton="1"/>
    <filterColumn colId="1" hiddenButton="1"/>
  </autoFilter>
  <tableColumns count="2">
    <tableColumn id="1" xr3:uid="{DD4EEE95-90EA-4EE8-A6EF-87E787CB7695}" name="Requested Information" dataDxfId="238" dataCellStyle="Normal 2 2"/>
    <tableColumn id="2" xr3:uid="{6861CE92-D4EE-493B-8EEE-E35A9D543E2F}" name="Response"/>
  </tableColumns>
  <tableStyleInfo showFirstColumn="0" showLastColumn="0" showRowStripes="1" showColumnStripes="1"/>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6606CEE8-E062-4989-8644-E106A14EDF79}" name="Tank_Total_Limits" displayName="Tank_Total_Limits" ref="A161:C164" totalsRowShown="0" headerRowBorderDxfId="237" tableBorderDxfId="236">
  <autoFilter ref="A161:C164" xr:uid="{6606CEE8-E062-4989-8644-E106A14EDF79}">
    <filterColumn colId="0" hiddenButton="1"/>
    <filterColumn colId="1" hiddenButton="1"/>
    <filterColumn colId="2" hiddenButton="1"/>
  </autoFilter>
  <tableColumns count="3">
    <tableColumn id="1" xr3:uid="{5993F946-C0AA-4FEB-98A5-51C245742A74}" name="Emission Type"/>
    <tableColumn id="2" xr3:uid="{F96B9B3C-4DAE-428F-8960-EA2964370AC6}" name="Total Emissions">
      <calculatedColumnFormula>SUMIFS($B$21:$B$158,$A$21:$A$158,A162)</calculatedColumnFormula>
    </tableColumn>
    <tableColumn id="3" xr3:uid="{01C5D0B6-0FBB-4208-8060-768CB995429A}" name="RAP Limit"/>
  </tableColumns>
  <tableStyleInfo showFirstColumn="0" showLastColumn="0" showRowStripes="0"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101F2260-E663-4C17-ABB3-CFB9096814C7}" name="Tank_Max_Limits" displayName="Tank_Max_Limits" ref="A165:C168" totalsRowShown="0" headerRowBorderDxfId="235" tableBorderDxfId="234">
  <autoFilter ref="A165:C168" xr:uid="{101F2260-E663-4C17-ABB3-CFB9096814C7}">
    <filterColumn colId="0" hiddenButton="1"/>
    <filterColumn colId="1" hiddenButton="1"/>
    <filterColumn colId="2" hiddenButton="1"/>
  </autoFilter>
  <tableColumns count="3">
    <tableColumn id="1" xr3:uid="{BC67D043-FFA9-4C39-AEB2-14D0DD10EB4B}" name="Emission Type"/>
    <tableColumn id="2" xr3:uid="{E28DCAB1-D225-45AD-8019-66482A076923}" name="Max Emissions">
      <calculatedColumnFormula>MAX(B30,B44,B58,B72,B86,B100,B114,B128,B142,B156)</calculatedColumnFormula>
    </tableColumn>
    <tableColumn id="3" xr3:uid="{0969786C-F891-482D-A90D-4A15CF41404E}" name="RAP Limit"/>
  </tableColumns>
  <tableStyleInfo showFirstColumn="0" showLastColumn="0" showRowStripes="0"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AF0FC1C0-F825-484A-B07F-8E16408A2C29}" name="Public_Notice_Publishing" displayName="Public_Notice_Publishing" ref="A14:B27" totalsRowShown="0" headerRowDxfId="233" headerRowBorderDxfId="232" tableBorderDxfId="231" totalsRowBorderDxfId="230">
  <autoFilter ref="A14:B27" xr:uid="{F02AF85B-1591-465C-B8D1-1FB0EE034B05}">
    <filterColumn colId="0" hiddenButton="1"/>
    <filterColumn colId="1" hiddenButton="1"/>
  </autoFilter>
  <tableColumns count="2">
    <tableColumn id="1" xr3:uid="{10CBCEF6-DC13-4F8D-85B2-8894CE5F020D}" name="Requested Information" dataDxfId="229" dataCellStyle="Normal 6"/>
    <tableColumn id="2" xr3:uid="{22069909-8815-45CA-B403-B1FAE4A51BD7}" name="Response" dataDxfId="228" dataCellStyle="Normal 6"/>
  </tableColumns>
  <tableStyleInfo showFirstColumn="0" showLastColumn="0" showRowStripes="1" showColumnStripes="1"/>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9D7768-C35C-4A4B-BAD7-BB29B1B99461}" name="Fee_Indirect_Cost" displayName="Fee_Indirect_Cost" ref="A23:B27" totalsRowShown="0" headerRowDxfId="615" headerRowBorderDxfId="614" tableBorderDxfId="613" totalsRowBorderDxfId="612" headerRowCellStyle="Normal 6">
  <autoFilter ref="A23:B27" xr:uid="{6E6ACD2C-B430-480E-B7D9-5B6EE562277E}">
    <filterColumn colId="0" hiddenButton="1"/>
    <filterColumn colId="1" hiddenButton="1"/>
  </autoFilter>
  <tableColumns count="2">
    <tableColumn id="1" xr3:uid="{539D215C-1551-4E07-9721-8F77A332C4CE}" name="Type of Cost" dataDxfId="611"/>
    <tableColumn id="2" xr3:uid="{610C08A5-B647-490C-ACEC-D30681C5C6B9}" name="Amount" dataDxfId="610" dataCellStyle="Currency 2"/>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9902791F-DE32-4113-BF23-48126897A4E8}" name="Public_Notice_TC" displayName="Public_Notice_TC" ref="A29:B42" totalsRowShown="0" headerRowDxfId="227" headerRowBorderDxfId="226" tableBorderDxfId="225" totalsRowBorderDxfId="224">
  <autoFilter ref="A29:B42" xr:uid="{5491E199-BAC3-4553-9AAF-D8AA4564EB87}">
    <filterColumn colId="0" hiddenButton="1"/>
    <filterColumn colId="1" hiddenButton="1"/>
  </autoFilter>
  <tableColumns count="2">
    <tableColumn id="1" xr3:uid="{7F72128C-676E-45A3-B0E8-DC2B16EFF42B}" name="Requested Information" dataDxfId="223" dataCellStyle="Normal 6"/>
    <tableColumn id="2" xr3:uid="{684834C7-55DC-4913-9131-5926F8167312}" name="Response" dataDxfId="222" dataCellStyle="Normal 6"/>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B9E51D9-B9F8-4C02-A842-E9E4E719761F}" name="Public_Notice_Place" displayName="Public_Notice_Place" ref="A44:B52" totalsRowShown="0" headerRowDxfId="221" headerRowBorderDxfId="220" tableBorderDxfId="219" totalsRowBorderDxfId="218">
  <autoFilter ref="A44:B52" xr:uid="{C913837C-73F2-4DDD-AF85-4B28A6D8B3EC}">
    <filterColumn colId="0" hiddenButton="1"/>
    <filterColumn colId="1" hiddenButton="1"/>
  </autoFilter>
  <tableColumns count="2">
    <tableColumn id="1" xr3:uid="{DE527ECF-F5FC-478E-AEE1-2EC3D5ABC759}" name="Requested Information" dataDxfId="217" dataCellStyle="Normal 6"/>
    <tableColumn id="2" xr3:uid="{1BEA0994-8B1E-4EC7-A4B8-63F91EB2DBB4}" name="Response" dataDxfId="216" dataCellStyle="Normal 6"/>
  </tableColumns>
  <tableStyleInfo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74C7AD5F-64A6-42A4-9CFC-EB5DC202BAF3}" name="Public_Notice_Alt_Lang" displayName="Public_Notice_Alt_Lang" ref="A54:B60" totalsRowShown="0" headerRowBorderDxfId="215" tableBorderDxfId="214" totalsRowBorderDxfId="213">
  <tableColumns count="2">
    <tableColumn id="1" xr3:uid="{F08674C9-3857-4B18-8A7E-15658ED0A1A1}" name="Requested Information" dataDxfId="212" dataCellStyle="Normal 6"/>
    <tableColumn id="2" xr3:uid="{49533AD0-152A-48CE-B043-F22E7544C49E}" name="Response" dataDxfId="211" dataCellStyle="Normal 6"/>
  </tableColumns>
  <tableStyleInfo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2F48B8C7-33FB-438F-A1BA-79A067D62DD8}" name="Public_Notice_Classification" displayName="Public_Notice_Classification" ref="A64:B69" totalsRowShown="0" headerRowBorderDxfId="210" tableBorderDxfId="209" totalsRowBorderDxfId="208">
  <autoFilter ref="A64:B69" xr:uid="{ECCC0805-BEB7-4564-B0D7-24ADA6E2491A}">
    <filterColumn colId="0" hiddenButton="1"/>
    <filterColumn colId="1" hiddenButton="1"/>
  </autoFilter>
  <tableColumns count="2">
    <tableColumn id="1" xr3:uid="{BD3EDB68-BA85-4801-BC13-C3D82EE2FC85}" name="Requested Information" dataDxfId="207" dataCellStyle="Normal 6"/>
    <tableColumn id="2" xr3:uid="{6AA3DB5E-4FAF-4247-8F48-4AF781AEF3DC}" name="Response" dataDxfId="206" dataCellStyle="Normal 6">
      <calculatedColumnFormula>IF($B$65="","",IF($B$65="NO","No",IF($B$66="YES","No",IF($B$67="YES","No",IF($B$68="YES","No","Yes")))))</calculatedColumnFormula>
    </tableColumn>
  </tableColumns>
  <tableStyleInfo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A782A263-3BF6-4C23-A05F-F44D82D576F1}" name="Table85" displayName="Table85" ref="A74:B76" totalsRowShown="0" headerRowBorderDxfId="205" tableBorderDxfId="204" totalsRowBorderDxfId="203">
  <autoFilter ref="A74:B76" xr:uid="{A782A263-3BF6-4C23-A05F-F44D82D576F1}">
    <filterColumn colId="0" hiddenButton="1"/>
    <filterColumn colId="1" hiddenButton="1"/>
  </autoFilter>
  <tableColumns count="2">
    <tableColumn id="1" xr3:uid="{5136CBA6-90F0-45B4-A91B-E84B9D77BF68}" name="Requested Information" dataDxfId="202"/>
    <tableColumn id="2" xr3:uid="{127D834D-4D05-4CB9-B83D-CEBE65E53526}" name="Response" dataDxfId="201"/>
  </tableColumns>
  <tableStyleInfo showFirstColumn="0" showLastColumn="0" showRowStripes="0"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4E5AE828-CD38-4ADA-B6B4-3D2CD84FF54B}" name="Baseline_Emissions" displayName="Baseline_Emissions" ref="A5:J19" totalsRowShown="0" headerRowDxfId="200" dataDxfId="198" headerRowBorderDxfId="199" tableBorderDxfId="197">
  <autoFilter ref="A5:J19" xr:uid="{700334F6-B9B0-4491-8667-6C5FFA5037A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4F05B81-8D0C-4E61-8B89-681B70BCBE4E}" name="Subject" dataDxfId="196"/>
    <tableColumn id="2" xr3:uid="{7D985273-261C-4BFC-A2C3-C4A96A8835A7}" name="CO _x000a_(tpy)" dataDxfId="195"/>
    <tableColumn id="3" xr3:uid="{D2E5938C-6A72-4B80-8DAA-A2F6BC933190}" name="NOX _x000a_(tpy)" dataDxfId="194"/>
    <tableColumn id="4" xr3:uid="{DA364EF6-F065-4FBE-A9FA-00170CAEA020}" name="PM _x000a_(tpy)" dataDxfId="193"/>
    <tableColumn id="5" xr3:uid="{347B2BB1-11E5-4E7B-80BC-090B482C6F67}" name="PM10 _x000a_(tpy)" dataDxfId="192"/>
    <tableColumn id="6" xr3:uid="{C40AEE4F-A3C8-455D-B3BA-BDA68C671A86}" name="PM2.5 _x000a_(tpy)" dataDxfId="191"/>
    <tableColumn id="8" xr3:uid="{A8D7E3A3-005F-4D35-AF89-A8F4CD82F3C5}" name="VOC _x000a_(tpy)" dataDxfId="190"/>
    <tableColumn id="7" xr3:uid="{EAACE868-5774-4704-AF8E-F40689CEA876}" name="SO2 _x000a_(tpy)" dataDxfId="189"/>
    <tableColumn id="9" xr3:uid="{F2A86760-2658-447B-8BFC-A705C7F0847D}" name="H2SO4 _x000a_(tpy)" dataDxfId="188"/>
    <tableColumn id="10" xr3:uid="{FD90E763-4644-43A4-A854-FFDDFD760690}" name="Applicant Internal Comments" dataDxfId="187"/>
  </tableColumns>
  <tableStyleInfo showFirstColumn="0" showLastColumn="0" showRowStripes="1" showColumnStripes="1"/>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772BEC34-B3FF-46F4-A5AF-63C65A0DA4A0}" name="Table62" displayName="Table62" ref="A8:B13" totalsRowShown="0" headerRowDxfId="186" headerRowBorderDxfId="185" tableBorderDxfId="184">
  <autoFilter ref="A8:B13" xr:uid="{67831B66-5674-4A21-A2F0-E1DA0F75DB68}">
    <filterColumn colId="0" hiddenButton="1"/>
    <filterColumn colId="1" hiddenButton="1"/>
  </autoFilter>
  <tableColumns count="2">
    <tableColumn id="1" xr3:uid="{2BDA9275-5950-4D0C-A2D1-B7328B76E5A9}" name="Requested Information" dataDxfId="183"/>
    <tableColumn id="2" xr3:uid="{8829DC77-FBBD-4F17-A1A3-7CEBD551E392}" name="Response" dataDxfId="182"/>
  </tableColumns>
  <tableStyleInfo showFirstColumn="0" showLastColumn="0" showRowStripes="1" showColumnStripes="1"/>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C4700759-CA46-40D5-95C5-D3AFBE2C4EBD}" name="Table63" displayName="Table63" ref="A21:D25" totalsRowShown="0" headerRowDxfId="181" headerRowBorderDxfId="180" tableBorderDxfId="179" totalsRowBorderDxfId="178">
  <autoFilter ref="A21:D25" xr:uid="{A52B2AED-8924-4C0C-BD03-0612CFBB7A5A}">
    <filterColumn colId="0" hiddenButton="1"/>
    <filterColumn colId="1" hiddenButton="1"/>
    <filterColumn colId="2" hiddenButton="1"/>
    <filterColumn colId="3" hiddenButton="1"/>
  </autoFilter>
  <tableColumns count="4">
    <tableColumn id="1" xr3:uid="{8DBCCC4A-F274-4F58-8508-7D3E8CF57670}" name="Criteria Pollutant or Precursor" dataDxfId="177"/>
    <tableColumn id="2" xr3:uid="{9AB43D5D-D31E-4962-A6B8-35735899B1CE}" name="Current Sitewide PTE (tpy)_x000a_all authorizations, excluding this project" dataDxfId="176">
      <calculatedColumnFormula>IF(ISBLANK(Baseline!$H$6),'Current PTE'!$I$17,Baseline!$H$6)</calculatedColumnFormula>
    </tableColumn>
    <tableColumn id="3" xr3:uid="{DB96FB98-5D79-4688-8C84-4BDBF3D5A42A}" name="Major Source Threshold (tpy)" dataDxfId="175"/>
    <tableColumn id="4" xr3:uid="{FE61370E-7350-41F4-998A-8CB37F6B080C}" name="Current Sitewide PTE ≥ Major Source Threshold?" dataDxfId="174">
      <calculatedColumnFormula>IF($B22&gt;=$C22,"Yes","No")</calculatedColumnFormula>
    </tableColumn>
  </tableColumns>
  <tableStyleInfo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4928036D-6548-4A82-A1DA-D08BBAB5231C}" name="Table64" displayName="Table64" ref="A28:D32" totalsRowShown="0" headerRowDxfId="173" headerRowBorderDxfId="172" tableBorderDxfId="171" totalsRowBorderDxfId="170">
  <autoFilter ref="A28:D32" xr:uid="{AF8E2D58-7F19-4B27-962E-3C6D94DB434C}">
    <filterColumn colId="0" hiddenButton="1"/>
    <filterColumn colId="1" hiddenButton="1"/>
    <filterColumn colId="2" hiddenButton="1"/>
    <filterColumn colId="3" hiddenButton="1"/>
  </autoFilter>
  <tableColumns count="4">
    <tableColumn id="1" xr3:uid="{0A666F5F-E9AB-4C25-8C2D-0F16B3EB7E8F}" name="Criteria Pollutant or Precursor" dataDxfId="169"/>
    <tableColumn id="2" xr3:uid="{F481FB15-AD85-44ED-A97F-CBEB9264F896}" name="Project Emissions Increase (tpy)_x000a_(Project PTE - Baseline Actual Emissions)" dataDxfId="168"/>
    <tableColumn id="3" xr3:uid="{A6141DD4-001B-4284-ABFA-B56183746088}" name="Threshold (tpy)" dataDxfId="167"/>
    <tableColumn id="4" xr3:uid="{B42A7AF1-C1C3-4A06-94B2-C5100EC9099C}" name="Project Emissions Increase ≥ Threshold?" dataDxfId="166">
      <calculatedColumnFormula>IF($B29&gt;=$J29,"Yes","No")</calculatedColumnFormula>
    </tableColumn>
  </tableColumns>
  <tableStyleInfo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26987A71-2DAB-41E6-AD21-92BDAEFD4079}" name="Table65" displayName="Table65" ref="A41:D49" totalsRowShown="0" headerRowDxfId="165" headerRowBorderDxfId="164" tableBorderDxfId="163" totalsRowBorderDxfId="162">
  <autoFilter ref="A41:D49" xr:uid="{1D7778B9-A7EC-47F5-A2B9-C9F34A705DDA}">
    <filterColumn colId="0" hiddenButton="1"/>
    <filterColumn colId="1" hiddenButton="1"/>
    <filterColumn colId="2" hiddenButton="1"/>
    <filterColumn colId="3" hiddenButton="1"/>
  </autoFilter>
  <tableColumns count="4">
    <tableColumn id="1" xr3:uid="{DCE85758-F708-4BE6-8908-B9B6D03DCB35}" name="Pollutant" dataDxfId="161"/>
    <tableColumn id="2" xr3:uid="{15B71F62-F4DB-4C3F-A7F9-7B68FFDB6C79}" name="Current Sitewide PTE (tpy)_x000a_all authorizations, excluding this project" dataDxfId="160">
      <calculatedColumnFormula>Reference!#REF!</calculatedColumnFormula>
    </tableColumn>
    <tableColumn id="3" xr3:uid="{2D0FFE2B-EB2A-43ED-BED0-55E626890C51}" name="Major Source Threshold (tpy)" dataDxfId="159">
      <calculatedColumnFormula>$C$42</calculatedColumnFormula>
    </tableColumn>
    <tableColumn id="4" xr3:uid="{3552DB74-970E-42BF-B839-60C2BB80DAEC}" name="Current Sitewide PTE ≥ Major Source Threshold?" dataDxfId="158">
      <calculatedColumnFormula>IF($B42&gt;=$C42,"Yes","No")</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59ED6B-5180-4D77-A3C9-94411CBAF821}" name="Fee_General" displayName="Fee_General" ref="A7:B9" totalsRowShown="0" headerRowDxfId="609" headerRowBorderDxfId="608" tableBorderDxfId="607">
  <autoFilter ref="A7:B9" xr:uid="{F41F7C98-7519-418D-9554-D56F83CC5D43}">
    <filterColumn colId="0" hiddenButton="1"/>
    <filterColumn colId="1" hiddenButton="1"/>
  </autoFilter>
  <tableColumns count="2">
    <tableColumn id="1" xr3:uid="{8ECEC56B-1239-4D1A-B86D-DE19CDA0A08F}" name="Requested Information"/>
    <tableColumn id="2" xr3:uid="{4FEE7EB7-B0F3-4A81-B5E2-787D3B07CC2B}" name="Response"/>
  </tableColumns>
  <tableStyleInfo showFirstColumn="0" showLastColumn="0" showRowStripes="1" showColumnStripes="1"/>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1C424800-A939-4BB2-AAE6-A2BB3B640DDB}" name="Table66" displayName="Table66" ref="A52:D60" totalsRowShown="0" headerRowDxfId="157" headerRowBorderDxfId="156" tableBorderDxfId="155" totalsRowBorderDxfId="154">
  <autoFilter ref="A52:D60" xr:uid="{E2237991-6E9A-4263-A5C7-495F69AA5A2E}">
    <filterColumn colId="0" hiddenButton="1"/>
    <filterColumn colId="1" hiddenButton="1"/>
    <filterColumn colId="2" hiddenButton="1"/>
    <filterColumn colId="3" hiddenButton="1"/>
  </autoFilter>
  <tableColumns count="4">
    <tableColumn id="1" xr3:uid="{09A0BF1C-73E4-4678-A5A0-F75FBF820921}" name="Pollutant" dataDxfId="153"/>
    <tableColumn id="2" xr3:uid="{A5390B64-62ED-4AAF-B0A3-70F679C3565D}" name="Project Emissions Increase (tpy)_x000a_(Project PTE  - Baseline Actual Emissions)" dataDxfId="152"/>
    <tableColumn id="3" xr3:uid="{1E4C4E17-2E6D-426A-81CC-D4FF8587847E}" name="Threshold (tpy)" dataDxfId="151">
      <calculatedColumnFormula>IF($I$50,$I53&amp;" (netting treshold)",$C$43&amp;" (major source threshold)")</calculatedColumnFormula>
    </tableColumn>
    <tableColumn id="4" xr3:uid="{45674CDE-6ECF-4217-B108-DB020443B50B}" name="Increase ≥ Threshold?" dataDxfId="150">
      <calculatedColumnFormula>IF($B53&gt;=$I53,"Yes","No")</calculatedColumnFormula>
    </tableColumn>
  </tableColumns>
  <tableStyleInfo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4FDCC25B-EDD2-4995-9CE4-7C9B14DA9731}" name="Table84" displayName="Table84" ref="A63:D71" totalsRowShown="0" headerRowDxfId="149" headerRowBorderDxfId="148" tableBorderDxfId="147" totalsRowBorderDxfId="146">
  <autoFilter ref="A63:D71" xr:uid="{4FDCC25B-EDD2-4995-9CE4-7C9B14DA9731}">
    <filterColumn colId="0" hiddenButton="1"/>
    <filterColumn colId="1" hiddenButton="1"/>
    <filterColumn colId="2" hiddenButton="1"/>
    <filterColumn colId="3" hiddenButton="1"/>
  </autoFilter>
  <tableColumns count="4">
    <tableColumn id="1" xr3:uid="{6D2749D3-9A12-4052-90F8-531B382ADCD9}" name="Pollutant" dataDxfId="145"/>
    <tableColumn id="2" xr3:uid="{05789989-829E-4710-86B6-D72F8EFDA445}" name="Project Emissions Increase (tpy)_x000a_(Project PTE - Baseline Actual Emissions)" dataDxfId="144">
      <calculatedColumnFormula>$B53</calculatedColumnFormula>
    </tableColumn>
    <tableColumn id="3" xr3:uid="{CB05B0B2-14EF-41C2-B5A7-2C00553E8DA1}" name="Significant Level (tpy)" dataDxfId="143"/>
    <tableColumn id="4" xr3:uid="{21FE73D3-8D51-45EF-AE72-B0CDF06EF75E}" name="Increase ≥ Significant Level?" dataDxfId="142">
      <calculatedColumnFormula>IF($B64&gt;=$C64,"Yes","No")</calculatedColumnFormula>
    </tableColumn>
  </tableColumns>
  <tableStyleInfo showFirstColumn="0" showLastColumn="0" showRowStripes="0"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BD93AA8-8628-4FD7-83C8-C6ACDFC85929}" name="Table12" displayName="Table12" ref="A5:B41" totalsRowShown="0" headerRowDxfId="141" headerRowBorderDxfId="140" tableBorderDxfId="139">
  <autoFilter ref="A5:B41" xr:uid="{6BD93AA8-8628-4FD7-83C8-C6ACDFC85929}">
    <filterColumn colId="0" hiddenButton="1"/>
    <filterColumn colId="1" hiddenButton="1"/>
  </autoFilter>
  <tableColumns count="2">
    <tableColumn id="1" xr3:uid="{F7CE539B-7D6E-40A2-B8EF-0C3D2710AA97}" name="Section Title" dataDxfId="138"/>
    <tableColumn id="2" xr3:uid="{8DDAF736-9381-40B0-9A23-E04625E31E57}" name="Special Condition Language" dataDxfId="137"/>
  </tableColumns>
  <tableStyleInfo showFirstColumn="0" showLastColumn="0" showRowStripes="1" showColumnStripes="1"/>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AD23C719-D9C5-4AE4-84CE-E1C195086829}" name="MAERT" displayName="MAERT" ref="A47:E57" totalsRowShown="0" headerRowDxfId="136" headerRowBorderDxfId="135" tableBorderDxfId="134" totalsRowBorderDxfId="133">
  <tableColumns count="5">
    <tableColumn id="1" xr3:uid="{F15AAE97-E33A-492F-B3DB-D81955004855}" name="EPN" dataDxfId="132"/>
    <tableColumn id="2" xr3:uid="{7D3B60D5-B4B1-4679-96CC-B05FBB789C7A}" name="Source Name" dataDxfId="131">
      <calculatedColumnFormula>'ENGINE Summary'!B7</calculatedColumnFormula>
    </tableColumn>
    <tableColumn id="3" xr3:uid="{95D0E58C-8242-4E97-85F7-D6CCACCD7EBC}" name="Air Contaminant" dataDxfId="130"/>
    <tableColumn id="4" xr3:uid="{5C60F7E5-509A-4B7F-A0BF-05564C82DC69}" name="Short-Term Emission Rate (lb/hr)" dataDxfId="129"/>
    <tableColumn id="5" xr3:uid="{D876C22A-B66F-4697-93E5-5283B40E3F74}" name="Annual Emission Rate (tpy)" dataDxfId="128"/>
  </tableColumns>
  <tableStyleInfo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36762E37-7778-4CCF-A798-CAB43853659B}" name="Emission_Sources" displayName="Emission_Sources" ref="A35:B37" totalsRowShown="0" headerRowDxfId="127" headerRowBorderDxfId="126" tableBorderDxfId="125" totalsRowBorderDxfId="124">
  <tableColumns count="2">
    <tableColumn id="1" xr3:uid="{AE21AD42-B78D-430D-A273-AD32B6E8248B}" name="Unit Type" dataDxfId="123"/>
    <tableColumn id="2" xr3:uid="{40BCF507-9895-443F-BF3B-AF0A27E1EDF1}" name="FINs" dataDxfId="122">
      <calculatedColumnFormula>IF($G36="","",$G36)</calculatedColumnFormula>
    </tableColumn>
  </tableColumns>
  <tableStyleInfo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FFF222A3-280B-4AF1-B19D-DD609D0A164C}" name="PS_Emissions_Summary" displayName="PS_Emissions_Summary" ref="A20:E29" totalsRowShown="0" headerRowDxfId="121" dataDxfId="119" headerRowBorderDxfId="120" tableBorderDxfId="118" totalsRowBorderDxfId="117">
  <tableColumns count="5">
    <tableColumn id="1" xr3:uid="{5AF23857-A27A-40F6-80F9-EF70AB797EFC}" name="Air Contaminant" dataDxfId="116"/>
    <tableColumn id="2" xr3:uid="{B25D6437-E0B6-40F0-A49B-F4E55399285A}" name="Current Allowable Emission Rates (tpy)" dataDxfId="115"/>
    <tableColumn id="3" xr3:uid="{D2CDF0B9-CC63-4DFD-BECA-B5620134AF95}" name="Project Allowable Emission Rates (tpy)" dataDxfId="114"/>
    <tableColumn id="4" xr3:uid="{CA13B5E3-29B5-4F30-BD42-B2769E66A85A}" name="Change in Allowable Emissions (tpy)" dataDxfId="113">
      <calculatedColumnFormula>PS_Emissions_Summary[[#This Row],[Project Allowable Emission Rates (tpy)]]-PS_Emissions_Summary[[#This Row],[Current Allowable Emission Rates (tpy)]]</calculatedColumnFormula>
    </tableColumn>
    <tableColumn id="5" xr3:uid="{C9EE448D-4A75-4C5C-B923-11C8BA4E3C61}" name="Project Emissions Increase (Baseline Actual to Allowable) (tpy) " dataDxfId="112">
      <calculatedColumnFormula>IF(OR(PS_Emissions_Summary[[#This Row],[Project Allowable Emission Rates (tpy)]]=0,PS_Emissions_Summary[[#This Row],[Project Allowable Emission Rates (tpy)]]-INDEX(Baseline!$B$19:$K$19,MATCH(PS_Emissions_Summary[[#This Row],[Air Contaminant]],Baseline!$B$23:$K$23,0))&lt;0),0,PS_Emissions_Summary[[#This Row],[Project Allowable Emission Rates (tpy)]]-INDEX(Baseline!$B$19:$K$19,MATCH(PS_Emissions_Summary[[#This Row],[Air Contaminant]],Baseline!$B$23:$K$23,0)))</calculatedColumnFormula>
    </tableColumn>
  </tableColumns>
  <tableStyleInfo showFirstColumn="0" showLastColumn="0" showRowStripes="1" showColumnStripes="1"/>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D519F5A5-27B5-4CC8-9F4F-41367746AD84}" name="Table80" displayName="Table80" ref="A5:B14" totalsRowShown="0" headerRowDxfId="111" headerRowBorderDxfId="110" tableBorderDxfId="109">
  <tableColumns count="2">
    <tableColumn id="1" xr3:uid="{B1724619-E5D3-4673-9801-9BA871F587EA}" name="Requested Information" dataDxfId="108"/>
    <tableColumn id="2" xr3:uid="{5F03D6D1-618B-4EDE-9584-F8DD4A1CD3B5}" name="Response" dataDxfId="107">
      <calculatedColumnFormula>IF($G6=0,"",$G6)</calculatedColumnFormula>
    </tableColumn>
  </tableColumns>
  <tableStyleInfo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E9E40FDD-F79F-48D3-B6B2-A57C39F5561C}" name="Emission_Summary" displayName="Emission_Summary" ref="A4:L17" totalsRowShown="0" headerRowDxfId="106" dataDxfId="104" headerRowBorderDxfId="105" tableBorderDxfId="103">
  <autoFilter ref="A4:L17" xr:uid="{83831E46-6575-4D50-ACB1-2C42837702C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8F31627F-BC9B-43E9-9A6A-452D1E168BEB}" name="ID" dataDxfId="102"/>
    <tableColumn id="2" xr3:uid="{A568D167-640A-4B84-A832-A8245171CFBB}" name="Source Name" dataDxfId="101"/>
    <tableColumn id="5" xr3:uid="{09827A20-60D9-48FF-A328-8E8A4CF4A53D}" name="Current _x000a_NOX (tpy)" dataDxfId="100"/>
    <tableColumn id="8" xr3:uid="{6BF414B6-D7C2-4433-8E7D-13254056329F}" name="Current _x000a_CO (tpy)" dataDxfId="99"/>
    <tableColumn id="11" xr3:uid="{DBDB09C9-0736-4DEA-8429-059D2A177C0B}" name="Current _x000a_PM (tpy)" dataDxfId="98"/>
    <tableColumn id="14" xr3:uid="{324BBD56-D9F1-4DBC-9B01-2ECAFFC5F328}" name="Current_x000a_PM10 (tpy)" dataDxfId="97"/>
    <tableColumn id="17" xr3:uid="{5DCEBBA4-782B-4253-8389-380B01247219}" name="Current_x000a_PM2.5 (tpy)" dataDxfId="96"/>
    <tableColumn id="20" xr3:uid="{3B0CF556-1618-4D4E-A147-5530B96832C6}" name="Current _x000a_VOC (tpy)" dataDxfId="95"/>
    <tableColumn id="23" xr3:uid="{0F383865-D7E6-46AE-A85E-3F1B26149F4B}" name="Current _x000a_SO2 (tpy)" dataDxfId="94"/>
    <tableColumn id="26" xr3:uid="{EE57A13C-6990-4EC3-B03C-850065FAEBA0}" name="Current_x000a_H2SO4 (tpy)" dataDxfId="93"/>
    <tableColumn id="29" xr3:uid="{4645C37D-F391-42F3-AD06-00F709C09C42}" name="Current_x000a_NH3 (tpy)" dataDxfId="92"/>
    <tableColumn id="3" xr3:uid="{15D15686-2394-42ED-83A7-6542268718CE}" name="Applicant Internal Comments" dataDxfId="9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8122B84-7EC2-4C3C-A3C7-1B9F05C248E4}" name="Fee_Payment_Info" displayName="Fee_Payment_Info" ref="A41:B45" totalsRowShown="0" headerRowDxfId="606" headerRowBorderDxfId="605" tableBorderDxfId="604" totalsRowBorderDxfId="603">
  <autoFilter ref="A41:B45" xr:uid="{99317031-C89F-4366-91CE-818F85D80FA5}">
    <filterColumn colId="0" hiddenButton="1"/>
    <filterColumn colId="1" hiddenButton="1"/>
  </autoFilter>
  <tableColumns count="2">
    <tableColumn id="1" xr3:uid="{8282C247-ECA6-4389-9F08-1CF3627AD526}" name="Requested Information" dataDxfId="602"/>
    <tableColumn id="2" xr3:uid="{DC13DAA7-154A-433C-88FC-686E5C02D3CB}" name="Response" dataDxfId="601"/>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ceq.texas.gov/permitting/air/nav/air_bact_combustsources.html" TargetMode="External"/><Relationship Id="rId3" Type="http://schemas.openxmlformats.org/officeDocument/2006/relationships/hyperlink" Target="http://www.tceq.texas.gov/compliance/enforcement/compliance-history/get_report.html" TargetMode="External"/><Relationship Id="rId7" Type="http://schemas.openxmlformats.org/officeDocument/2006/relationships/hyperlink" Target="https://www3.tceq.texas.gov/steers/" TargetMode="External"/><Relationship Id="rId12" Type="http://schemas.openxmlformats.org/officeDocument/2006/relationships/table" Target="../tables/table1.xml"/><Relationship Id="rId2" Type="http://schemas.openxmlformats.org/officeDocument/2006/relationships/hyperlink" Target="http://www.tceq.texas.gov/compliance/enforcement/compliance-history/about.html" TargetMode="External"/><Relationship Id="rId1" Type="http://schemas.openxmlformats.org/officeDocument/2006/relationships/hyperlink" Target="http://www.tceq.texas.gov/permitting/central_registry/guidance.html" TargetMode="External"/><Relationship Id="rId6" Type="http://schemas.openxmlformats.org/officeDocument/2006/relationships/hyperlink" Target="https://ftps.tceq.texas.gov/help/" TargetMode="External"/><Relationship Id="rId11" Type="http://schemas.openxmlformats.org/officeDocument/2006/relationships/printerSettings" Target="../printerSettings/printerSettings1.bin"/><Relationship Id="rId5" Type="http://schemas.openxmlformats.org/officeDocument/2006/relationships/hyperlink" Target="http://www.tceq.texas.gov/agency/directory/region" TargetMode="External"/><Relationship Id="rId10" Type="http://schemas.openxmlformats.org/officeDocument/2006/relationships/hyperlink" Target="https://ftps.tceq.texas.gov/help/" TargetMode="External"/><Relationship Id="rId4" Type="http://schemas.openxmlformats.org/officeDocument/2006/relationships/hyperlink" Target="http://www.tceq.texas.gov/permitting/air/local_programs.html" TargetMode="External"/><Relationship Id="rId9" Type="http://schemas.openxmlformats.org/officeDocument/2006/relationships/hyperlink" Target="https://statutes.capitol.texas.gov/Docs/GV/htm/GV.559.htm"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10.bin"/><Relationship Id="rId5" Type="http://schemas.openxmlformats.org/officeDocument/2006/relationships/table" Target="../tables/table39.xml"/><Relationship Id="rId4" Type="http://schemas.openxmlformats.org/officeDocument/2006/relationships/table" Target="../tables/table3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table" Target="../tables/table40.xml"/><Relationship Id="rId1" Type="http://schemas.openxmlformats.org/officeDocument/2006/relationships/printerSettings" Target="../printerSettings/printerSettings11.bin"/><Relationship Id="rId5" Type="http://schemas.openxmlformats.org/officeDocument/2006/relationships/table" Target="../tables/table43.xml"/><Relationship Id="rId4" Type="http://schemas.openxmlformats.org/officeDocument/2006/relationships/table" Target="../tables/table4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5.xml"/><Relationship Id="rId2" Type="http://schemas.openxmlformats.org/officeDocument/2006/relationships/table" Target="../tables/table44.xml"/><Relationship Id="rId1" Type="http://schemas.openxmlformats.org/officeDocument/2006/relationships/printerSettings" Target="../printerSettings/printerSettings12.bin"/><Relationship Id="rId5" Type="http://schemas.openxmlformats.org/officeDocument/2006/relationships/table" Target="../tables/table47.xml"/><Relationship Id="rId4" Type="http://schemas.openxmlformats.org/officeDocument/2006/relationships/table" Target="../tables/table46.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49.xml"/><Relationship Id="rId2" Type="http://schemas.openxmlformats.org/officeDocument/2006/relationships/table" Target="../tables/table48.xml"/><Relationship Id="rId1" Type="http://schemas.openxmlformats.org/officeDocument/2006/relationships/printerSettings" Target="../printerSettings/printerSettings13.bin"/><Relationship Id="rId5" Type="http://schemas.openxmlformats.org/officeDocument/2006/relationships/table" Target="../tables/table51.xml"/><Relationship Id="rId4" Type="http://schemas.openxmlformats.org/officeDocument/2006/relationships/table" Target="../tables/table5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53.xml"/><Relationship Id="rId2" Type="http://schemas.openxmlformats.org/officeDocument/2006/relationships/table" Target="../tables/table52.xml"/><Relationship Id="rId1" Type="http://schemas.openxmlformats.org/officeDocument/2006/relationships/printerSettings" Target="../printerSettings/printerSettings14.bin"/><Relationship Id="rId5" Type="http://schemas.openxmlformats.org/officeDocument/2006/relationships/table" Target="../tables/table55.xml"/><Relationship Id="rId4" Type="http://schemas.openxmlformats.org/officeDocument/2006/relationships/table" Target="../tables/table54.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62.xml"/><Relationship Id="rId13" Type="http://schemas.openxmlformats.org/officeDocument/2006/relationships/table" Target="../tables/table67.xml"/><Relationship Id="rId3" Type="http://schemas.openxmlformats.org/officeDocument/2006/relationships/table" Target="../tables/table57.xml"/><Relationship Id="rId7" Type="http://schemas.openxmlformats.org/officeDocument/2006/relationships/table" Target="../tables/table61.xml"/><Relationship Id="rId12" Type="http://schemas.openxmlformats.org/officeDocument/2006/relationships/table" Target="../tables/table66.xml"/><Relationship Id="rId2" Type="http://schemas.openxmlformats.org/officeDocument/2006/relationships/table" Target="../tables/table56.xml"/><Relationship Id="rId1" Type="http://schemas.openxmlformats.org/officeDocument/2006/relationships/printerSettings" Target="../printerSettings/printerSettings15.bin"/><Relationship Id="rId6" Type="http://schemas.openxmlformats.org/officeDocument/2006/relationships/table" Target="../tables/table60.xml"/><Relationship Id="rId11" Type="http://schemas.openxmlformats.org/officeDocument/2006/relationships/table" Target="../tables/table65.xml"/><Relationship Id="rId5" Type="http://schemas.openxmlformats.org/officeDocument/2006/relationships/table" Target="../tables/table59.xml"/><Relationship Id="rId10" Type="http://schemas.openxmlformats.org/officeDocument/2006/relationships/table" Target="../tables/table64.xml"/><Relationship Id="rId4" Type="http://schemas.openxmlformats.org/officeDocument/2006/relationships/table" Target="../tables/table58.xml"/><Relationship Id="rId9" Type="http://schemas.openxmlformats.org/officeDocument/2006/relationships/table" Target="../tables/table63.xml"/><Relationship Id="rId14" Type="http://schemas.openxmlformats.org/officeDocument/2006/relationships/table" Target="../tables/table68.xml"/></Relationships>
</file>

<file path=xl/worksheets/_rels/sheet16.xml.rels><?xml version="1.0" encoding="UTF-8" standalone="yes"?>
<Relationships xmlns="http://schemas.openxmlformats.org/package/2006/relationships"><Relationship Id="rId8" Type="http://schemas.openxmlformats.org/officeDocument/2006/relationships/table" Target="../tables/table72.xml"/><Relationship Id="rId3" Type="http://schemas.openxmlformats.org/officeDocument/2006/relationships/hyperlink" Target="https://www.tceq.texas.gov/permitting/air/guidance/newsourcereview/nsrapp-tools.html" TargetMode="External"/><Relationship Id="rId7" Type="http://schemas.openxmlformats.org/officeDocument/2006/relationships/table" Target="../tables/table71.xml"/><Relationship Id="rId2" Type="http://schemas.openxmlformats.org/officeDocument/2006/relationships/hyperlink" Target="https://www.tceq.texas.gov/permitting/air/guidance/newsourcereview/nsrapp-tools.html" TargetMode="External"/><Relationship Id="rId1" Type="http://schemas.openxmlformats.org/officeDocument/2006/relationships/hyperlink" Target="http://www.tceq.texas.gov/permitting/air/bilingual/how1_2_pn.html" TargetMode="External"/><Relationship Id="rId6" Type="http://schemas.openxmlformats.org/officeDocument/2006/relationships/table" Target="../tables/table70.xml"/><Relationship Id="rId5" Type="http://schemas.openxmlformats.org/officeDocument/2006/relationships/table" Target="../tables/table69.xml"/><Relationship Id="rId10" Type="http://schemas.openxmlformats.org/officeDocument/2006/relationships/table" Target="../tables/table74.xml"/><Relationship Id="rId4" Type="http://schemas.openxmlformats.org/officeDocument/2006/relationships/printerSettings" Target="../printerSettings/printerSettings16.bin"/><Relationship Id="rId9" Type="http://schemas.openxmlformats.org/officeDocument/2006/relationships/table" Target="../tables/table73.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7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table" Target="../tables/table81.xml"/><Relationship Id="rId3" Type="http://schemas.openxmlformats.org/officeDocument/2006/relationships/table" Target="../tables/table76.xml"/><Relationship Id="rId7" Type="http://schemas.openxmlformats.org/officeDocument/2006/relationships/table" Target="../tables/table80.xml"/><Relationship Id="rId2" Type="http://schemas.openxmlformats.org/officeDocument/2006/relationships/printerSettings" Target="../printerSettings/printerSettings18.bin"/><Relationship Id="rId1" Type="http://schemas.openxmlformats.org/officeDocument/2006/relationships/hyperlink" Target="https://www.tceq.texas.gov/assets/public/permitting/air/Guidance/NewSourceReview/fnsr_app_determ.pdf" TargetMode="External"/><Relationship Id="rId6" Type="http://schemas.openxmlformats.org/officeDocument/2006/relationships/table" Target="../tables/table79.xml"/><Relationship Id="rId5" Type="http://schemas.openxmlformats.org/officeDocument/2006/relationships/table" Target="../tables/table78.xml"/><Relationship Id="rId4" Type="http://schemas.openxmlformats.org/officeDocument/2006/relationships/table" Target="../tables/table77.xm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tceq.texas.gov/assets/public/permitting/air/memos/vapor4.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ceq.texas.gov/agency/financial/fees/delin" TargetMode="External"/><Relationship Id="rId13" Type="http://schemas.openxmlformats.org/officeDocument/2006/relationships/hyperlink" Target="https://www.tceq.texas.gov/permitting/air" TargetMode="External"/><Relationship Id="rId18" Type="http://schemas.openxmlformats.org/officeDocument/2006/relationships/table" Target="../tables/table5.xml"/><Relationship Id="rId3" Type="http://schemas.openxmlformats.org/officeDocument/2006/relationships/hyperlink" Target="http://www.tceq.texas.gov/permitting/air/confidential.html" TargetMode="External"/><Relationship Id="rId7" Type="http://schemas.openxmlformats.org/officeDocument/2006/relationships/hyperlink" Target="https://www.osha.gov/pls/imis/sicsearch.html" TargetMode="External"/><Relationship Id="rId12" Type="http://schemas.openxmlformats.org/officeDocument/2006/relationships/hyperlink" Target="https://www.osha.gov/pls/imis/sicsearch.html" TargetMode="External"/><Relationship Id="rId17" Type="http://schemas.openxmlformats.org/officeDocument/2006/relationships/table" Target="../tables/table4.xml"/><Relationship Id="rId2" Type="http://schemas.openxmlformats.org/officeDocument/2006/relationships/hyperlink" Target="https://wrm.capitol.texas.gov/home" TargetMode="External"/><Relationship Id="rId16" Type="http://schemas.openxmlformats.org/officeDocument/2006/relationships/table" Target="../tables/table3.xml"/><Relationship Id="rId1" Type="http://schemas.openxmlformats.org/officeDocument/2006/relationships/hyperlink" Target="http://www.tceq.texas.gov/permitting/air/confidential.html" TargetMode="External"/><Relationship Id="rId6" Type="http://schemas.openxmlformats.org/officeDocument/2006/relationships/hyperlink" Target="http://www.census.gov/eos/www/naics/" TargetMode="External"/><Relationship Id="rId11" Type="http://schemas.openxmlformats.org/officeDocument/2006/relationships/hyperlink" Target="http://www.sos.state.tx.us/" TargetMode="External"/><Relationship Id="rId5" Type="http://schemas.openxmlformats.org/officeDocument/2006/relationships/hyperlink" Target="http://www.tceq.texas.gov/agency/fees/delin" TargetMode="External"/><Relationship Id="rId15" Type="http://schemas.openxmlformats.org/officeDocument/2006/relationships/table" Target="../tables/table2.xml"/><Relationship Id="rId10" Type="http://schemas.openxmlformats.org/officeDocument/2006/relationships/hyperlink" Target="http://www.sos.state.tx.us/" TargetMode="External"/><Relationship Id="rId4" Type="http://schemas.openxmlformats.org/officeDocument/2006/relationships/hyperlink" Target="https://wrm.capitol.texas.gov/home" TargetMode="External"/><Relationship Id="rId9" Type="http://schemas.openxmlformats.org/officeDocument/2006/relationships/hyperlink" Target="https://www.census.gov/naics/" TargetMode="External"/><Relationship Id="rId1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tceq.texas.gov/permitting/air/modeling/epa-mod-guidance.html" TargetMode="External"/><Relationship Id="rId2" Type="http://schemas.openxmlformats.org/officeDocument/2006/relationships/hyperlink" Target="http://www.tceq.texas.gov/assets/public/permitting/air/memos/guidance_1hr_no2naaqs.pdf" TargetMode="External"/><Relationship Id="rId1" Type="http://schemas.openxmlformats.org/officeDocument/2006/relationships/hyperlink" Target="http://www.epa.gov/sites/production/files/2015-07/documents/appwso2.pdf" TargetMode="External"/><Relationship Id="rId4"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8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84.xml"/><Relationship Id="rId2" Type="http://schemas.openxmlformats.org/officeDocument/2006/relationships/table" Target="../tables/table83.xml"/><Relationship Id="rId1" Type="http://schemas.openxmlformats.org/officeDocument/2006/relationships/printerSettings" Target="../printerSettings/printerSettings23.bin"/><Relationship Id="rId5" Type="http://schemas.openxmlformats.org/officeDocument/2006/relationships/table" Target="../tables/table86.xml"/><Relationship Id="rId4" Type="http://schemas.openxmlformats.org/officeDocument/2006/relationships/table" Target="../tables/table85.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www.federalregister.gov/documents/2022/10/07/2022-20458/determinations-of-attainment-by-the-attainment-date-extensions-of-the-attainment-date-and" TargetMode="External"/><Relationship Id="rId1" Type="http://schemas.openxmlformats.org/officeDocument/2006/relationships/hyperlink" Target="https://www.federalregister.gov/documents/2022/10/07/2022-20460/determinations-of-attainment-by-the-attainment-date-extensions-of-the-attainment-date-and"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87.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printerSettings" Target="../printerSettings/printerSettings3.bin"/><Relationship Id="rId7" Type="http://schemas.openxmlformats.org/officeDocument/2006/relationships/table" Target="../tables/table9.xml"/><Relationship Id="rId2" Type="http://schemas.openxmlformats.org/officeDocument/2006/relationships/hyperlink" Target="https://www3.tceq.texas.gov/epay/" TargetMode="External"/><Relationship Id="rId1" Type="http://schemas.openxmlformats.org/officeDocument/2006/relationships/hyperlink" Target="https://www3.tceq.texas.gov/epay/" TargetMode="Externa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4.bin"/><Relationship Id="rId5" Type="http://schemas.openxmlformats.org/officeDocument/2006/relationships/table" Target="../tables/table15.xml"/><Relationship Id="rId4" Type="http://schemas.openxmlformats.org/officeDocument/2006/relationships/table" Target="../tables/table1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5.bin"/><Relationship Id="rId5" Type="http://schemas.openxmlformats.org/officeDocument/2006/relationships/table" Target="../tables/table19.xml"/><Relationship Id="rId4"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6.bin"/><Relationship Id="rId5" Type="http://schemas.openxmlformats.org/officeDocument/2006/relationships/table" Target="../tables/table23.xml"/><Relationship Id="rId4" Type="http://schemas.openxmlformats.org/officeDocument/2006/relationships/table" Target="../tables/table2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7.bin"/><Relationship Id="rId5" Type="http://schemas.openxmlformats.org/officeDocument/2006/relationships/table" Target="../tables/table27.xml"/><Relationship Id="rId4" Type="http://schemas.openxmlformats.org/officeDocument/2006/relationships/table" Target="../tables/table2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8.bin"/><Relationship Id="rId5" Type="http://schemas.openxmlformats.org/officeDocument/2006/relationships/table" Target="../tables/table31.xml"/><Relationship Id="rId4" Type="http://schemas.openxmlformats.org/officeDocument/2006/relationships/table" Target="../tables/table3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printerSettings" Target="../printerSettings/printerSettings9.bin"/><Relationship Id="rId5" Type="http://schemas.openxmlformats.org/officeDocument/2006/relationships/table" Target="../tables/table35.xml"/><Relationship Id="rId4" Type="http://schemas.openxmlformats.org/officeDocument/2006/relationships/table" Target="../tables/table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DCDCFF"/>
    <pageSetUpPr fitToPage="1"/>
  </sheetPr>
  <dimension ref="A1:E78"/>
  <sheetViews>
    <sheetView showGridLines="0" tabSelected="1" zoomScaleNormal="100" workbookViewId="0">
      <selection sqref="A1:D1"/>
    </sheetView>
  </sheetViews>
  <sheetFormatPr defaultColWidth="0" defaultRowHeight="14.25" zeroHeight="1" x14ac:dyDescent="0.2"/>
  <cols>
    <col min="1" max="1" width="30.625" customWidth="1"/>
    <col min="2" max="2" width="65.625" customWidth="1"/>
    <col min="3" max="3" width="20.625" customWidth="1"/>
    <col min="4" max="4" width="20.875" customWidth="1"/>
    <col min="5" max="5" width="2.625" customWidth="1"/>
    <col min="6" max="16384" width="9" hidden="1"/>
  </cols>
  <sheetData>
    <row r="1" spans="1:4" s="5" customFormat="1" ht="15" customHeight="1" x14ac:dyDescent="0.2">
      <c r="A1" s="716" t="s">
        <v>0</v>
      </c>
      <c r="B1" s="716"/>
      <c r="C1" s="716"/>
      <c r="D1" s="716"/>
    </row>
    <row r="2" spans="1:4" s="5" customFormat="1" ht="15" customHeight="1" x14ac:dyDescent="0.2">
      <c r="A2" s="717" t="s">
        <v>1</v>
      </c>
      <c r="B2" s="717"/>
      <c r="C2" s="717"/>
      <c r="D2" s="717"/>
    </row>
    <row r="3" spans="1:4" s="5" customFormat="1" ht="15" customHeight="1" x14ac:dyDescent="0.2">
      <c r="A3" s="717" t="s">
        <v>2</v>
      </c>
      <c r="B3" s="717"/>
      <c r="C3" s="717"/>
      <c r="D3" s="717"/>
    </row>
    <row r="4" spans="1:4" s="5" customFormat="1" ht="15" customHeight="1" thickBot="1" x14ac:dyDescent="0.25">
      <c r="A4" s="738" t="str">
        <f>Reference!A1</f>
        <v>TCEQ 20952, Version 2.1</v>
      </c>
      <c r="B4" s="738"/>
      <c r="C4" s="738"/>
      <c r="D4" s="738"/>
    </row>
    <row r="5" spans="1:4" s="5" customFormat="1" ht="33.75" customHeight="1" thickBot="1" x14ac:dyDescent="0.25">
      <c r="A5" s="748" t="s">
        <v>3</v>
      </c>
      <c r="B5" s="749"/>
      <c r="C5" s="749"/>
      <c r="D5" s="750"/>
    </row>
    <row r="6" spans="1:4" s="1" customFormat="1" ht="15.75" thickBot="1" x14ac:dyDescent="0.25">
      <c r="A6" s="736" t="s">
        <v>4</v>
      </c>
      <c r="B6" s="737"/>
      <c r="C6" s="737"/>
      <c r="D6" s="737"/>
    </row>
    <row r="7" spans="1:4" s="1" customFormat="1" ht="15.75" thickBot="1" x14ac:dyDescent="0.25">
      <c r="A7" s="751" t="s">
        <v>5</v>
      </c>
      <c r="B7" s="752"/>
      <c r="C7" s="752"/>
      <c r="D7" s="753"/>
    </row>
    <row r="8" spans="1:4" s="1" customFormat="1" ht="174.95" customHeight="1" thickBot="1" x14ac:dyDescent="0.25">
      <c r="A8" s="724" t="s">
        <v>1077</v>
      </c>
      <c r="B8" s="725"/>
      <c r="C8" s="725"/>
      <c r="D8" s="726"/>
    </row>
    <row r="9" spans="1:4" s="1" customFormat="1" ht="15.75" thickBot="1" x14ac:dyDescent="0.25">
      <c r="A9" s="736" t="s">
        <v>4</v>
      </c>
      <c r="B9" s="737"/>
      <c r="C9" s="737"/>
      <c r="D9" s="737"/>
    </row>
    <row r="10" spans="1:4" s="1" customFormat="1" ht="15.75" thickBot="1" x14ac:dyDescent="0.25">
      <c r="A10" s="721" t="s">
        <v>6</v>
      </c>
      <c r="B10" s="722"/>
      <c r="C10" s="722"/>
      <c r="D10" s="723"/>
    </row>
    <row r="11" spans="1:4" s="1" customFormat="1" ht="20.100000000000001" customHeight="1" x14ac:dyDescent="0.2">
      <c r="A11" s="781" t="s">
        <v>1027</v>
      </c>
      <c r="B11" s="782"/>
      <c r="C11" s="782"/>
      <c r="D11" s="783"/>
    </row>
    <row r="12" spans="1:4" s="1" customFormat="1" ht="20.100000000000001" customHeight="1" x14ac:dyDescent="0.2">
      <c r="A12" s="778" t="s">
        <v>1028</v>
      </c>
      <c r="B12" s="779"/>
      <c r="C12" s="779"/>
      <c r="D12" s="780"/>
    </row>
    <row r="13" spans="1:4" s="1" customFormat="1" ht="39.950000000000003" customHeight="1" x14ac:dyDescent="0.2">
      <c r="A13" s="778" t="s">
        <v>1029</v>
      </c>
      <c r="B13" s="779"/>
      <c r="C13" s="779"/>
      <c r="D13" s="780"/>
    </row>
    <row r="14" spans="1:4" s="1" customFormat="1" ht="39.950000000000003" customHeight="1" x14ac:dyDescent="0.2">
      <c r="A14" s="778" t="s">
        <v>1030</v>
      </c>
      <c r="B14" s="779"/>
      <c r="C14" s="779"/>
      <c r="D14" s="780"/>
    </row>
    <row r="15" spans="1:4" s="1" customFormat="1" ht="39.950000000000003" customHeight="1" x14ac:dyDescent="0.2">
      <c r="A15" s="778" t="s">
        <v>1031</v>
      </c>
      <c r="B15" s="779"/>
      <c r="C15" s="779"/>
      <c r="D15" s="780"/>
    </row>
    <row r="16" spans="1:4" s="1" customFormat="1" ht="39.950000000000003" customHeight="1" x14ac:dyDescent="0.2">
      <c r="A16" s="778" t="s">
        <v>1032</v>
      </c>
      <c r="B16" s="779"/>
      <c r="C16" s="779"/>
      <c r="D16" s="780"/>
    </row>
    <row r="17" spans="1:4" s="1" customFormat="1" ht="20.100000000000001" customHeight="1" x14ac:dyDescent="0.2">
      <c r="A17" s="778" t="s">
        <v>1055</v>
      </c>
      <c r="B17" s="779"/>
      <c r="C17" s="779"/>
      <c r="D17" s="780"/>
    </row>
    <row r="18" spans="1:4" s="1" customFormat="1" ht="39.950000000000003" customHeight="1" x14ac:dyDescent="0.2">
      <c r="A18" s="778" t="s">
        <v>1033</v>
      </c>
      <c r="B18" s="779"/>
      <c r="C18" s="779"/>
      <c r="D18" s="780"/>
    </row>
    <row r="19" spans="1:4" s="1" customFormat="1" ht="90" customHeight="1" thickBot="1" x14ac:dyDescent="0.25">
      <c r="A19" s="724" t="s">
        <v>1034</v>
      </c>
      <c r="B19" s="725"/>
      <c r="C19" s="725"/>
      <c r="D19" s="726"/>
    </row>
    <row r="20" spans="1:4" s="1" customFormat="1" ht="15.75" thickBot="1" x14ac:dyDescent="0.25">
      <c r="A20" s="727" t="s">
        <v>4</v>
      </c>
      <c r="B20" s="728"/>
      <c r="C20" s="728"/>
      <c r="D20" s="729"/>
    </row>
    <row r="21" spans="1:4" s="1" customFormat="1" ht="15.75" thickBot="1" x14ac:dyDescent="0.25">
      <c r="A21" s="730" t="s">
        <v>7</v>
      </c>
      <c r="B21" s="731"/>
      <c r="C21" s="731"/>
      <c r="D21" s="732"/>
    </row>
    <row r="22" spans="1:4" s="1" customFormat="1" ht="397.5" customHeight="1" x14ac:dyDescent="0.2">
      <c r="A22" s="733" t="s">
        <v>1101</v>
      </c>
      <c r="B22" s="734"/>
      <c r="C22" s="734"/>
      <c r="D22" s="735"/>
    </row>
    <row r="23" spans="1:4" s="1" customFormat="1" ht="115.5" customHeight="1" x14ac:dyDescent="0.2">
      <c r="A23" s="707" t="s">
        <v>1100</v>
      </c>
      <c r="B23" s="708"/>
      <c r="C23" s="708"/>
      <c r="D23" s="709"/>
    </row>
    <row r="24" spans="1:4" s="1" customFormat="1" ht="17.100000000000001" customHeight="1" thickBot="1" x14ac:dyDescent="0.25">
      <c r="A24" s="710" t="s">
        <v>15</v>
      </c>
      <c r="B24" s="711"/>
      <c r="C24" s="711"/>
      <c r="D24" s="712"/>
    </row>
    <row r="25" spans="1:4" s="1" customFormat="1" ht="15.75" customHeight="1" thickBot="1" x14ac:dyDescent="0.25">
      <c r="A25" s="736" t="s">
        <v>4</v>
      </c>
      <c r="B25" s="737"/>
      <c r="C25" s="737"/>
      <c r="D25" s="737"/>
    </row>
    <row r="26" spans="1:4" s="1" customFormat="1" ht="15.75" thickBot="1" x14ac:dyDescent="0.25">
      <c r="A26" s="718" t="s">
        <v>8</v>
      </c>
      <c r="B26" s="719"/>
      <c r="C26" s="719"/>
      <c r="D26" s="720"/>
    </row>
    <row r="27" spans="1:4" s="1" customFormat="1" ht="195" customHeight="1" thickBot="1" x14ac:dyDescent="0.25">
      <c r="A27" s="762" t="s">
        <v>1075</v>
      </c>
      <c r="B27" s="763"/>
      <c r="C27" s="763"/>
      <c r="D27" s="764"/>
    </row>
    <row r="28" spans="1:4" s="1" customFormat="1" ht="15.75" thickBot="1" x14ac:dyDescent="0.25">
      <c r="A28" s="736" t="s">
        <v>4</v>
      </c>
      <c r="B28" s="737"/>
      <c r="C28" s="737"/>
      <c r="D28" s="737"/>
    </row>
    <row r="29" spans="1:4" s="1" customFormat="1" ht="15.75" thickBot="1" x14ac:dyDescent="0.25">
      <c r="A29" s="718" t="s">
        <v>9</v>
      </c>
      <c r="B29" s="719"/>
      <c r="C29" s="719"/>
      <c r="D29" s="720"/>
    </row>
    <row r="30" spans="1:4" s="1" customFormat="1" x14ac:dyDescent="0.2">
      <c r="A30" s="58" t="s">
        <v>10</v>
      </c>
      <c r="B30" s="765" t="s">
        <v>11</v>
      </c>
      <c r="C30" s="765"/>
      <c r="D30" s="766"/>
    </row>
    <row r="31" spans="1:4" s="1" customFormat="1" x14ac:dyDescent="0.2">
      <c r="A31" s="59" t="s">
        <v>12</v>
      </c>
      <c r="B31" s="769" t="s">
        <v>13</v>
      </c>
      <c r="C31" s="770"/>
      <c r="D31" s="771"/>
    </row>
    <row r="32" spans="1:4" s="1" customFormat="1" x14ac:dyDescent="0.2">
      <c r="A32" s="59" t="s">
        <v>14</v>
      </c>
      <c r="B32" s="769" t="s">
        <v>15</v>
      </c>
      <c r="C32" s="770"/>
      <c r="D32" s="771"/>
    </row>
    <row r="33" spans="1:4" s="1" customFormat="1" x14ac:dyDescent="0.2">
      <c r="A33" s="369" t="s">
        <v>16</v>
      </c>
      <c r="B33" s="767" t="s">
        <v>17</v>
      </c>
      <c r="C33" s="767"/>
      <c r="D33" s="768"/>
    </row>
    <row r="34" spans="1:4" s="1" customFormat="1" x14ac:dyDescent="0.2">
      <c r="A34" s="369" t="s">
        <v>18</v>
      </c>
      <c r="B34" s="772" t="s">
        <v>19</v>
      </c>
      <c r="C34" s="772"/>
      <c r="D34" s="773"/>
    </row>
    <row r="35" spans="1:4" s="1" customFormat="1" x14ac:dyDescent="0.2">
      <c r="A35" s="369" t="s">
        <v>20</v>
      </c>
      <c r="B35" s="772" t="s">
        <v>21</v>
      </c>
      <c r="C35" s="772"/>
      <c r="D35" s="773"/>
    </row>
    <row r="36" spans="1:4" s="1" customFormat="1" x14ac:dyDescent="0.2">
      <c r="A36" s="369" t="s">
        <v>22</v>
      </c>
      <c r="B36" s="772" t="s">
        <v>23</v>
      </c>
      <c r="C36" s="772"/>
      <c r="D36" s="773"/>
    </row>
    <row r="37" spans="1:4" s="1" customFormat="1" x14ac:dyDescent="0.2">
      <c r="A37" s="636" t="s">
        <v>24</v>
      </c>
      <c r="B37" s="776" t="s">
        <v>25</v>
      </c>
      <c r="C37" s="776"/>
      <c r="D37" s="777"/>
    </row>
    <row r="38" spans="1:4" s="1" customFormat="1" ht="15" thickBot="1" x14ac:dyDescent="0.25">
      <c r="A38" s="637" t="s">
        <v>26</v>
      </c>
      <c r="B38" s="774" t="s">
        <v>27</v>
      </c>
      <c r="C38" s="774"/>
      <c r="D38" s="775"/>
    </row>
    <row r="39" spans="1:4" s="1" customFormat="1" ht="15.75" thickBot="1" x14ac:dyDescent="0.25">
      <c r="A39" s="760" t="s">
        <v>4</v>
      </c>
      <c r="B39" s="761"/>
      <c r="C39" s="761"/>
      <c r="D39" s="761"/>
    </row>
    <row r="40" spans="1:4" s="43" customFormat="1" ht="15.75" thickBot="1" x14ac:dyDescent="0.25">
      <c r="A40" s="718" t="s">
        <v>28</v>
      </c>
      <c r="B40" s="719"/>
      <c r="C40" s="719"/>
      <c r="D40" s="720"/>
    </row>
    <row r="41" spans="1:4" s="44" customFormat="1" ht="15" x14ac:dyDescent="0.2">
      <c r="A41" s="326" t="s">
        <v>29</v>
      </c>
      <c r="B41" s="327" t="s">
        <v>30</v>
      </c>
      <c r="C41" s="327" t="s">
        <v>31</v>
      </c>
      <c r="D41" s="328" t="s">
        <v>32</v>
      </c>
    </row>
    <row r="42" spans="1:4" s="44" customFormat="1" ht="45" customHeight="1" x14ac:dyDescent="0.2">
      <c r="A42" s="322" t="s">
        <v>33</v>
      </c>
      <c r="B42" s="323" t="s">
        <v>34</v>
      </c>
      <c r="C42" s="324" t="s">
        <v>35</v>
      </c>
      <c r="D42" s="325" t="s">
        <v>36</v>
      </c>
    </row>
    <row r="43" spans="1:4" s="44" customFormat="1" ht="89.25" customHeight="1" x14ac:dyDescent="0.2">
      <c r="A43" s="184" t="s">
        <v>37</v>
      </c>
      <c r="B43" s="57" t="s">
        <v>38</v>
      </c>
      <c r="C43" s="57" t="s">
        <v>39</v>
      </c>
      <c r="D43" s="185" t="s">
        <v>40</v>
      </c>
    </row>
    <row r="44" spans="1:4" s="44" customFormat="1" ht="75" customHeight="1" x14ac:dyDescent="0.2">
      <c r="A44" s="184" t="s">
        <v>41</v>
      </c>
      <c r="B44" s="57" t="s">
        <v>42</v>
      </c>
      <c r="C44" s="57" t="s">
        <v>43</v>
      </c>
      <c r="D44" s="185" t="s">
        <v>44</v>
      </c>
    </row>
    <row r="45" spans="1:4" s="44" customFormat="1" ht="75" customHeight="1" x14ac:dyDescent="0.2">
      <c r="A45" s="184" t="s">
        <v>45</v>
      </c>
      <c r="B45" s="57" t="s">
        <v>46</v>
      </c>
      <c r="C45" s="57" t="s">
        <v>43</v>
      </c>
      <c r="D45" s="185" t="s">
        <v>44</v>
      </c>
    </row>
    <row r="46" spans="1:4" s="44" customFormat="1" ht="75" customHeight="1" x14ac:dyDescent="0.2">
      <c r="A46" s="184" t="s">
        <v>47</v>
      </c>
      <c r="B46" s="57" t="s">
        <v>48</v>
      </c>
      <c r="C46" s="57" t="s">
        <v>43</v>
      </c>
      <c r="D46" s="185" t="s">
        <v>44</v>
      </c>
    </row>
    <row r="47" spans="1:4" s="44" customFormat="1" ht="60" customHeight="1" x14ac:dyDescent="0.2">
      <c r="A47" s="186" t="s">
        <v>49</v>
      </c>
      <c r="B47" s="187" t="s">
        <v>50</v>
      </c>
      <c r="C47" s="187" t="s">
        <v>51</v>
      </c>
      <c r="D47" s="188" t="s">
        <v>52</v>
      </c>
    </row>
    <row r="48" spans="1:4" s="44" customFormat="1" ht="15.75" thickBot="1" x14ac:dyDescent="0.25">
      <c r="A48" s="736" t="s">
        <v>4</v>
      </c>
      <c r="B48" s="737"/>
      <c r="C48" s="737"/>
      <c r="D48" s="737"/>
    </row>
    <row r="49" spans="1:4" s="43" customFormat="1" ht="15.75" thickBot="1" x14ac:dyDescent="0.25">
      <c r="A49" s="754" t="s">
        <v>53</v>
      </c>
      <c r="B49" s="755"/>
      <c r="C49" s="755"/>
      <c r="D49" s="756"/>
    </row>
    <row r="50" spans="1:4" s="43" customFormat="1" ht="15.75" customHeight="1" x14ac:dyDescent="0.2">
      <c r="A50" s="757" t="s">
        <v>54</v>
      </c>
      <c r="B50" s="758"/>
      <c r="C50" s="758"/>
      <c r="D50" s="759"/>
    </row>
    <row r="51" spans="1:4" s="43" customFormat="1" x14ac:dyDescent="0.2">
      <c r="A51" s="743" t="s">
        <v>55</v>
      </c>
      <c r="B51" s="744"/>
      <c r="C51" s="744"/>
      <c r="D51" s="745"/>
    </row>
    <row r="52" spans="1:4" s="43" customFormat="1" ht="15" customHeight="1" x14ac:dyDescent="0.2">
      <c r="A52" s="713" t="str">
        <f>HYPERLINK("#Sheet_PI1","PI-1-PowerEngine: General Application for RAP: PowerEngine")</f>
        <v>PI-1-PowerEngine: General Application for RAP: PowerEngine</v>
      </c>
      <c r="B52" s="714"/>
      <c r="C52" s="714"/>
      <c r="D52" s="715"/>
    </row>
    <row r="53" spans="1:4" s="43" customFormat="1" ht="15" customHeight="1" x14ac:dyDescent="0.2">
      <c r="A53" s="713" t="str">
        <f>HYPERLINK("#Sheet_Fees","Estimated Capital Cost and Fee Verification")</f>
        <v>Estimated Capital Cost and Fee Verification</v>
      </c>
      <c r="B53" s="714"/>
      <c r="C53" s="714"/>
      <c r="D53" s="715"/>
    </row>
    <row r="54" spans="1:4" s="43" customFormat="1" x14ac:dyDescent="0.2">
      <c r="A54" s="743" t="s">
        <v>56</v>
      </c>
      <c r="B54" s="744"/>
      <c r="C54" s="744"/>
      <c r="D54" s="745"/>
    </row>
    <row r="55" spans="1:4" s="43" customFormat="1" x14ac:dyDescent="0.2">
      <c r="A55" s="713" t="str">
        <f>HYPERLINK("#Sheet_Eng1","Engine 1")</f>
        <v>Engine 1</v>
      </c>
      <c r="B55" s="714"/>
      <c r="C55" s="714"/>
      <c r="D55" s="715"/>
    </row>
    <row r="56" spans="1:4" s="43" customFormat="1" x14ac:dyDescent="0.2">
      <c r="A56" s="713" t="str">
        <f>HYPERLINK("#Sheet_Eng2","Engine 2")</f>
        <v>Engine 2</v>
      </c>
      <c r="B56" s="714"/>
      <c r="C56" s="714"/>
      <c r="D56" s="715"/>
    </row>
    <row r="57" spans="1:4" s="43" customFormat="1" x14ac:dyDescent="0.2">
      <c r="A57" s="713" t="str">
        <f>HYPERLINK("#Sheet_Eng3","Engine 3")</f>
        <v>Engine 3</v>
      </c>
      <c r="B57" s="714"/>
      <c r="C57" s="714"/>
      <c r="D57" s="715"/>
    </row>
    <row r="58" spans="1:4" s="43" customFormat="1" x14ac:dyDescent="0.2">
      <c r="A58" s="713" t="str">
        <f>HYPERLINK("#Sheet_Eng4","Engine 4")</f>
        <v>Engine 4</v>
      </c>
      <c r="B58" s="714"/>
      <c r="C58" s="714"/>
      <c r="D58" s="715"/>
    </row>
    <row r="59" spans="1:4" s="43" customFormat="1" x14ac:dyDescent="0.2">
      <c r="A59" s="713" t="str">
        <f>HYPERLINK("#Sheet_Eng5","Engine 5")</f>
        <v>Engine 5</v>
      </c>
      <c r="B59" s="714"/>
      <c r="C59" s="714"/>
      <c r="D59" s="715"/>
    </row>
    <row r="60" spans="1:4" s="43" customFormat="1" x14ac:dyDescent="0.2">
      <c r="A60" s="713" t="str">
        <f>HYPERLINK("#Sheet_Eng6","Engine 6")</f>
        <v>Engine 6</v>
      </c>
      <c r="B60" s="714"/>
      <c r="C60" s="714"/>
      <c r="D60" s="715"/>
    </row>
    <row r="61" spans="1:4" s="43" customFormat="1" x14ac:dyDescent="0.2">
      <c r="A61" s="713" t="str">
        <f>HYPERLINK("#Sheet_Eng7","Engine 7")</f>
        <v>Engine 7</v>
      </c>
      <c r="B61" s="714"/>
      <c r="C61" s="714"/>
      <c r="D61" s="715"/>
    </row>
    <row r="62" spans="1:4" s="43" customFormat="1" x14ac:dyDescent="0.2">
      <c r="A62" s="713" t="str">
        <f>HYPERLINK("#Sheet_Eng8","Engine 8")</f>
        <v>Engine 8</v>
      </c>
      <c r="B62" s="714"/>
      <c r="C62" s="714"/>
      <c r="D62" s="715"/>
    </row>
    <row r="63" spans="1:4" s="43" customFormat="1" x14ac:dyDescent="0.2">
      <c r="A63" s="713" t="str">
        <f>HYPERLINK("#Sheet_Eng9","Engine 9")</f>
        <v>Engine 9</v>
      </c>
      <c r="B63" s="714"/>
      <c r="C63" s="714"/>
      <c r="D63" s="715"/>
    </row>
    <row r="64" spans="1:4" s="43" customFormat="1" x14ac:dyDescent="0.2">
      <c r="A64" s="713" t="str">
        <f>HYPERLINK("#Sheet_Eng10","Engine 10")</f>
        <v>Engine 10</v>
      </c>
      <c r="B64" s="714"/>
      <c r="C64" s="714"/>
      <c r="D64" s="715"/>
    </row>
    <row r="65" spans="1:4" s="43" customFormat="1" x14ac:dyDescent="0.2">
      <c r="A65" s="713" t="str">
        <f t="shared" ref="A65" si="0">HYPERLINK("#ENGINE_Summary","Engine Summary")</f>
        <v>Engine Summary</v>
      </c>
      <c r="B65" s="714"/>
      <c r="C65" s="714"/>
      <c r="D65" s="715"/>
    </row>
    <row r="66" spans="1:4" s="43" customFormat="1" x14ac:dyDescent="0.2">
      <c r="A66" s="713" t="str">
        <f>HYPERLINK("#Sheet_Tanks","Tanks")</f>
        <v>Tanks</v>
      </c>
      <c r="B66" s="714"/>
      <c r="C66" s="714"/>
      <c r="D66" s="715"/>
    </row>
    <row r="67" spans="1:4" s="43" customFormat="1" x14ac:dyDescent="0.2">
      <c r="A67" s="743" t="s">
        <v>57</v>
      </c>
      <c r="B67" s="744"/>
      <c r="C67" s="744"/>
      <c r="D67" s="745"/>
    </row>
    <row r="68" spans="1:4" s="43" customFormat="1" ht="14.25" customHeight="1" x14ac:dyDescent="0.2">
      <c r="A68" s="713" t="str">
        <f>HYPERLINK("#Sheet_PN","Public Notice Applicability and Small Business Classification")</f>
        <v>Public Notice Applicability and Small Business Classification</v>
      </c>
      <c r="B68" s="714"/>
      <c r="C68" s="714"/>
      <c r="D68" s="715"/>
    </row>
    <row r="69" spans="1:4" s="43" customFormat="1" ht="14.25" customHeight="1" x14ac:dyDescent="0.2">
      <c r="A69" s="713" t="str">
        <f>HYPERLINK("#Sheet_Base","Baseline Emission Information")</f>
        <v>Baseline Emission Information</v>
      </c>
      <c r="B69" s="714"/>
      <c r="C69" s="714"/>
      <c r="D69" s="715"/>
    </row>
    <row r="70" spans="1:4" s="43" customFormat="1" ht="14.25" customHeight="1" x14ac:dyDescent="0.2">
      <c r="A70" s="713" t="str">
        <f>HYPERLINK("#Sheet_FedApp","Federal Applicability Determination")</f>
        <v>Federal Applicability Determination</v>
      </c>
      <c r="B70" s="714"/>
      <c r="C70" s="714"/>
      <c r="D70" s="715"/>
    </row>
    <row r="71" spans="1:4" s="43" customFormat="1" ht="14.25" customHeight="1" x14ac:dyDescent="0.2">
      <c r="A71" s="713" t="str">
        <f>HYPERLINK("#Sheet_BACT","Best Available Control Technology (BACT)")</f>
        <v>Best Available Control Technology (BACT)</v>
      </c>
      <c r="B71" s="714"/>
      <c r="C71" s="714"/>
      <c r="D71" s="715"/>
    </row>
    <row r="72" spans="1:4" s="43" customFormat="1" ht="14.25" customHeight="1" x14ac:dyDescent="0.2">
      <c r="A72" s="713" t="str">
        <f>HYPERLINK("#Sheet_AQA","Air Quality Analysis (AQA)")</f>
        <v>Air Quality Analysis (AQA)</v>
      </c>
      <c r="B72" s="714"/>
      <c r="C72" s="714"/>
      <c r="D72" s="715"/>
    </row>
    <row r="73" spans="1:4" s="43" customFormat="1" ht="14.25" customHeight="1" x14ac:dyDescent="0.2">
      <c r="A73" s="713" t="str">
        <f>HYPERLINK("#Sheet_Tox","Toxicology Review (Tox)")</f>
        <v>Toxicology Review (Tox)</v>
      </c>
      <c r="B73" s="714"/>
      <c r="C73" s="714"/>
      <c r="D73" s="715"/>
    </row>
    <row r="74" spans="1:4" s="43" customFormat="1" ht="14.25" customHeight="1" x14ac:dyDescent="0.2">
      <c r="A74" s="713" t="str">
        <f>HYPERLINK("#Sheet_CND","Special Conditions and Agreement (CND)")</f>
        <v>Special Conditions and Agreement (CND)</v>
      </c>
      <c r="B74" s="714"/>
      <c r="C74" s="714"/>
      <c r="D74" s="715"/>
    </row>
    <row r="75" spans="1:4" s="43" customFormat="1" ht="15" thickBot="1" x14ac:dyDescent="0.25">
      <c r="A75" s="739" t="str">
        <f t="shared" ref="A75" si="1">HYPERLINK("#Sheet_Project_Summary","Project Summary")</f>
        <v>Project Summary</v>
      </c>
      <c r="B75" s="740"/>
      <c r="C75" s="740"/>
      <c r="D75" s="741"/>
    </row>
    <row r="76" spans="1:4" s="43" customFormat="1" ht="8.25" customHeight="1" x14ac:dyDescent="0.2">
      <c r="A76" s="747"/>
      <c r="B76" s="747"/>
      <c r="C76" s="747"/>
      <c r="D76" s="747"/>
    </row>
    <row r="77" spans="1:4" s="43" customFormat="1" x14ac:dyDescent="0.2">
      <c r="A77" s="746" t="str">
        <f>HYPERLINK("#Sheet_PI1","End of sheet. Click here to move to the next sheet.")</f>
        <v>End of sheet. Click here to move to the next sheet.</v>
      </c>
      <c r="B77" s="746"/>
      <c r="C77" s="746"/>
      <c r="D77" s="746"/>
    </row>
    <row r="78" spans="1:4" s="43" customFormat="1" ht="8.25" customHeight="1" x14ac:dyDescent="0.2">
      <c r="A78" s="742" t="s">
        <v>58</v>
      </c>
      <c r="B78" s="742"/>
      <c r="C78" s="742"/>
      <c r="D78" s="742"/>
    </row>
  </sheetData>
  <sheetProtection algorithmName="SHA-512" hashValue="ZAj2fP2FYgxF+sG/BtfakdsvvGuGBcj4tFomc32z9LWIFUzyfqTAfkSCbG4mcL8ECciIlLVmq/qq+w+d2IPmrw==" saltValue="1J2YsygxIIfqJFLrL2TGDg==" spinCount="100000" sheet="1" objects="1" scenarios="1" formatColumns="0" formatRows="0" autoFilter="0"/>
  <mergeCells count="71">
    <mergeCell ref="A16:D16"/>
    <mergeCell ref="A17:D17"/>
    <mergeCell ref="A18:D18"/>
    <mergeCell ref="A11:D11"/>
    <mergeCell ref="A12:D12"/>
    <mergeCell ref="A13:D13"/>
    <mergeCell ref="A14:D14"/>
    <mergeCell ref="A15:D15"/>
    <mergeCell ref="A56:D56"/>
    <mergeCell ref="A39:D39"/>
    <mergeCell ref="A25:D25"/>
    <mergeCell ref="A26:D26"/>
    <mergeCell ref="A27:D27"/>
    <mergeCell ref="B30:D30"/>
    <mergeCell ref="B33:D33"/>
    <mergeCell ref="B31:D31"/>
    <mergeCell ref="B32:D32"/>
    <mergeCell ref="A48:D48"/>
    <mergeCell ref="B34:D34"/>
    <mergeCell ref="B35:D35"/>
    <mergeCell ref="B36:D36"/>
    <mergeCell ref="B38:D38"/>
    <mergeCell ref="B37:D37"/>
    <mergeCell ref="A54:D54"/>
    <mergeCell ref="A55:D55"/>
    <mergeCell ref="A49:D49"/>
    <mergeCell ref="A50:D50"/>
    <mergeCell ref="A51:D51"/>
    <mergeCell ref="A52:D52"/>
    <mergeCell ref="A53:D53"/>
    <mergeCell ref="A5:D5"/>
    <mergeCell ref="A6:D6"/>
    <mergeCell ref="A7:D7"/>
    <mergeCell ref="A8:D8"/>
    <mergeCell ref="A9:D9"/>
    <mergeCell ref="A72:D72"/>
    <mergeCell ref="A75:D75"/>
    <mergeCell ref="A65:D65"/>
    <mergeCell ref="A74:D74"/>
    <mergeCell ref="A78:D78"/>
    <mergeCell ref="A66:D66"/>
    <mergeCell ref="A67:D67"/>
    <mergeCell ref="A69:D69"/>
    <mergeCell ref="A70:D70"/>
    <mergeCell ref="A68:D68"/>
    <mergeCell ref="A73:D73"/>
    <mergeCell ref="A71:D71"/>
    <mergeCell ref="A77:D77"/>
    <mergeCell ref="A76:D76"/>
    <mergeCell ref="A57:D57"/>
    <mergeCell ref="A58:D58"/>
    <mergeCell ref="A62:D62"/>
    <mergeCell ref="A63:D63"/>
    <mergeCell ref="A64:D64"/>
    <mergeCell ref="A59:D59"/>
    <mergeCell ref="A23:D23"/>
    <mergeCell ref="A24:D24"/>
    <mergeCell ref="A60:D60"/>
    <mergeCell ref="A61:D61"/>
    <mergeCell ref="A1:D1"/>
    <mergeCell ref="A3:D3"/>
    <mergeCell ref="A40:D40"/>
    <mergeCell ref="A10:D10"/>
    <mergeCell ref="A19:D19"/>
    <mergeCell ref="A20:D20"/>
    <mergeCell ref="A21:D21"/>
    <mergeCell ref="A22:D22"/>
    <mergeCell ref="A29:D29"/>
    <mergeCell ref="A28:D28"/>
    <mergeCell ref="A2:D2"/>
    <mergeCell ref="A4:D4"/>
  </mergeCells>
  <hyperlinks>
    <hyperlink ref="B33" r:id="rId1" tooltip="Click to link to guidance information on the Core Data Form." xr:uid="{1ABE36CC-CC7A-4FF8-B530-1915E454EFCE}"/>
    <hyperlink ref="B34" r:id="rId2" tooltip="Click to link to compliance history calssifications." xr:uid="{745ACA96-3E39-4182-8CE1-537C99C33FB9}"/>
    <hyperlink ref="B35" r:id="rId3" tooltip="Click to link to compliance history report." xr:uid="{4AB5F769-CD8A-4542-BC28-F1C7807E602A}"/>
    <hyperlink ref="B36" r:id="rId4" tooltip="Click to link to local air pollution control program contacts." xr:uid="{82E2989C-0F5D-4555-9476-CDEC0F6F2253}"/>
    <hyperlink ref="B38" r:id="rId5" tooltip="Click to link to TCEQ Regional Offices and contacts." xr:uid="{A56D2E0F-BA00-4DC3-BB4A-003E545E97FE}"/>
    <hyperlink ref="A52:D52" location="'PI-1-PowerEngine'!A1" display="     PI-1-PowerEngine: General Application for RAP: PowerEngine" xr:uid="{F05D7967-A9DA-423B-9612-DAEF0833BBC5}"/>
    <hyperlink ref="A60:D60" location="ENGINE6!A1" display="     Engine 6" xr:uid="{80AF97EF-8B8C-4BCE-9FDC-B90251C11BA5}"/>
    <hyperlink ref="A62:D62" location="ENGINE8!A1" display="     Engine 8" xr:uid="{9EEBCA56-EF02-4FCB-A624-A94EE0E3ACF8}"/>
    <hyperlink ref="A64:D64" location="ENGINE10!A1" display="     Engine 10" xr:uid="{4CA86E78-F494-4557-B123-C33AB68D5983}"/>
    <hyperlink ref="A66:D66" location="Tanks!A1" display="     Tanks" xr:uid="{04620514-FF06-496F-AE93-18D412845671}"/>
    <hyperlink ref="A68:D68" location="'Public Notice'!A1" display="     Public Notice Applicability and Small Business Classification" xr:uid="{314196D9-FC0A-4ED8-BE4C-B091241BA510}"/>
    <hyperlink ref="B32" r:id="rId6" xr:uid="{FB62F3A6-F550-48DD-BFAC-2ACEA44CAE10}"/>
    <hyperlink ref="B31" r:id="rId7" xr:uid="{393108D9-8F75-478B-A344-741E93F23777}"/>
    <hyperlink ref="B30" r:id="rId8" xr:uid="{2045F01D-487A-4E08-BF2E-4B23FFE3CFBE}"/>
    <hyperlink ref="B37:D37" r:id="rId9" location="559.003" display="https://statutes.capitol.texas.gov/Docs/GV/htm/GV.559.htm#559.003" xr:uid="{36B498B5-8D75-4513-B7E1-61C53AD6D25B}"/>
    <hyperlink ref="A24" r:id="rId10" xr:uid="{37028716-EE1E-4299-B8ED-CD942A31C656}"/>
  </hyperlinks>
  <printOptions horizontalCentered="1"/>
  <pageMargins left="0.25" right="0.25" top="0.57395833333333302" bottom="0.61354166666666698" header="0.3" footer="0.3"/>
  <pageSetup scale="60" fitToHeight="0" orientation="portrait" r:id="rId11"/>
  <headerFooter>
    <oddHeader>&amp;C&amp;"Arial,Regular"Engine Power Generation RAP Application</oddHeader>
    <oddFooter>&amp;L&amp;"Arial,Regular"Version: 1.0&amp;C&amp;"Arial,Regular"Sheet: &amp;A&amp;R&amp;"Arial,Regular"Page &amp;P</oddFooter>
  </headerFooter>
  <rowBreaks count="1" manualBreakCount="1">
    <brk id="25" max="1" man="1"/>
  </rowBreaks>
  <tableParts count="1">
    <tablePart r:id="rId1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A64DA-2992-4192-AC62-44E65B07389B}">
  <sheetPr codeName="Sheet12">
    <tabColor rgb="FFFFFFCC"/>
  </sheetPr>
  <dimension ref="A1:N84"/>
  <sheetViews>
    <sheetView showGridLines="0" zoomScaleNormal="100" workbookViewId="0">
      <selection sqref="A1:F1"/>
    </sheetView>
  </sheetViews>
  <sheetFormatPr defaultColWidth="0" defaultRowHeight="14.25" zeroHeight="1" x14ac:dyDescent="0.2"/>
  <cols>
    <col min="1" max="1" width="34.125" style="2" customWidth="1"/>
    <col min="2" max="3" width="14.375" style="2" customWidth="1"/>
    <col min="4" max="4" width="16.375" style="2" customWidth="1"/>
    <col min="5" max="5" width="18.5" style="2" customWidth="1"/>
    <col min="6" max="6" width="27.125" style="2" customWidth="1"/>
    <col min="7" max="7" width="40.625" style="2" customWidth="1"/>
    <col min="8" max="8" width="2.625" style="2" customWidth="1"/>
    <col min="9" max="16384" width="9" style="2" hidden="1"/>
  </cols>
  <sheetData>
    <row r="1" spans="1:13" ht="18.75" thickBot="1" x14ac:dyDescent="0.25">
      <c r="A1" s="861" t="s">
        <v>280</v>
      </c>
      <c r="B1" s="862"/>
      <c r="C1" s="862"/>
      <c r="D1" s="862"/>
      <c r="E1" s="862"/>
      <c r="F1" s="863"/>
      <c r="G1" s="133" t="s">
        <v>60</v>
      </c>
      <c r="H1" s="387"/>
      <c r="I1" s="387" t="b">
        <f>'PI-1-PowerEngine'!$B$78&lt;7</f>
        <v>1</v>
      </c>
      <c r="J1" s="387"/>
      <c r="K1" s="387"/>
      <c r="L1" s="387"/>
      <c r="M1" s="387"/>
    </row>
    <row r="2" spans="1:13" ht="61.5" customHeight="1" thickBot="1" x14ac:dyDescent="0.25">
      <c r="A2" s="880" t="s">
        <v>215</v>
      </c>
      <c r="B2" s="853"/>
      <c r="C2" s="853"/>
      <c r="D2" s="853"/>
      <c r="E2" s="853"/>
      <c r="F2" s="284"/>
      <c r="G2" s="64" t="s">
        <v>63</v>
      </c>
      <c r="H2" s="387"/>
      <c r="I2" s="387"/>
      <c r="J2" s="387"/>
      <c r="K2" s="387"/>
      <c r="L2" s="387"/>
      <c r="M2" s="387"/>
    </row>
    <row r="3" spans="1:13" ht="15" customHeight="1" thickBot="1" x14ac:dyDescent="0.25">
      <c r="A3" s="314" t="s">
        <v>4</v>
      </c>
      <c r="B3" s="97"/>
      <c r="C3" s="97"/>
      <c r="D3" s="97"/>
      <c r="E3" s="97"/>
      <c r="F3" s="97"/>
      <c r="G3" s="138"/>
      <c r="H3" s="387"/>
      <c r="I3" s="387"/>
      <c r="J3" s="387"/>
      <c r="K3" s="387"/>
      <c r="L3" s="387"/>
      <c r="M3" s="387"/>
    </row>
    <row r="4" spans="1:13" ht="17.100000000000001" customHeight="1" thickBot="1" x14ac:dyDescent="0.25">
      <c r="A4" s="171" t="s">
        <v>167</v>
      </c>
      <c r="B4" s="172"/>
      <c r="C4" s="172"/>
      <c r="D4" s="172"/>
      <c r="E4" s="172"/>
      <c r="F4" s="286"/>
      <c r="G4" s="139"/>
      <c r="H4" s="387"/>
      <c r="I4" s="387"/>
      <c r="J4" s="387"/>
      <c r="K4" s="387"/>
      <c r="L4" s="387"/>
      <c r="M4" s="387"/>
    </row>
    <row r="5" spans="1:13" ht="17.100000000000001" customHeight="1" x14ac:dyDescent="0.2">
      <c r="A5" s="295" t="s">
        <v>72</v>
      </c>
      <c r="B5" s="227" t="s">
        <v>73</v>
      </c>
      <c r="C5" s="228"/>
      <c r="D5" s="196"/>
      <c r="E5" s="196"/>
      <c r="F5" s="296"/>
      <c r="G5" s="139"/>
      <c r="H5" s="387"/>
      <c r="I5" s="387"/>
      <c r="J5" s="387"/>
      <c r="K5" s="387"/>
      <c r="L5" s="387"/>
      <c r="M5" s="387"/>
    </row>
    <row r="6" spans="1:13" ht="15" customHeight="1" x14ac:dyDescent="0.2">
      <c r="A6" s="388" t="s">
        <v>216</v>
      </c>
      <c r="B6" s="224"/>
      <c r="C6" s="229"/>
      <c r="D6" s="389"/>
      <c r="E6" s="389"/>
      <c r="F6" s="390"/>
      <c r="G6" s="139"/>
      <c r="H6" s="387"/>
      <c r="I6" s="387"/>
      <c r="J6" s="387"/>
      <c r="K6" s="387"/>
      <c r="L6" s="387"/>
      <c r="M6" s="387"/>
    </row>
    <row r="7" spans="1:13" ht="15" customHeight="1" x14ac:dyDescent="0.2">
      <c r="A7" s="257" t="s">
        <v>217</v>
      </c>
      <c r="B7" s="391"/>
      <c r="C7" s="389"/>
      <c r="D7" s="389"/>
      <c r="E7" s="389"/>
      <c r="F7" s="390"/>
      <c r="G7" s="139"/>
      <c r="H7" s="387"/>
      <c r="I7" s="387"/>
      <c r="J7" s="387"/>
      <c r="K7" s="387"/>
      <c r="L7" s="387"/>
      <c r="M7" s="387"/>
    </row>
    <row r="8" spans="1:13" ht="15" customHeight="1" x14ac:dyDescent="0.2">
      <c r="A8" s="369" t="s">
        <v>218</v>
      </c>
      <c r="B8" s="391"/>
      <c r="C8" s="389"/>
      <c r="D8" s="389"/>
      <c r="E8" s="389"/>
      <c r="F8" s="390"/>
      <c r="G8" s="139"/>
      <c r="H8" s="387"/>
      <c r="I8" s="387"/>
      <c r="J8" s="387"/>
      <c r="K8" s="387"/>
      <c r="L8" s="387"/>
      <c r="M8" s="387"/>
    </row>
    <row r="9" spans="1:13" ht="15" customHeight="1" x14ac:dyDescent="0.2">
      <c r="A9" s="369" t="s">
        <v>219</v>
      </c>
      <c r="B9" s="174"/>
      <c r="C9" s="389"/>
      <c r="D9" s="389"/>
      <c r="E9" s="389"/>
      <c r="F9" s="390"/>
      <c r="G9" s="139"/>
      <c r="H9" s="387"/>
      <c r="I9" s="387"/>
      <c r="J9" s="387"/>
      <c r="K9" s="387"/>
      <c r="L9" s="387"/>
      <c r="M9" s="387"/>
    </row>
    <row r="10" spans="1:13" ht="15" thickBot="1" x14ac:dyDescent="0.25">
      <c r="A10" s="258" t="s">
        <v>220</v>
      </c>
      <c r="B10" s="300"/>
      <c r="C10" s="416"/>
      <c r="D10" s="416"/>
      <c r="E10" s="416"/>
      <c r="F10" s="417"/>
      <c r="G10" s="139"/>
      <c r="H10" s="387"/>
      <c r="I10" s="387"/>
      <c r="J10" s="387"/>
      <c r="K10" s="387"/>
      <c r="L10" s="387"/>
      <c r="M10" s="387"/>
    </row>
    <row r="11" spans="1:13" ht="15" customHeight="1" thickBot="1" x14ac:dyDescent="0.25">
      <c r="A11" s="85"/>
      <c r="B11" s="85"/>
      <c r="C11" s="318" t="s">
        <v>4</v>
      </c>
      <c r="D11" s="85"/>
      <c r="E11" s="85"/>
      <c r="F11" s="85"/>
      <c r="G11" s="139"/>
      <c r="H11" s="387"/>
      <c r="I11" s="387"/>
      <c r="J11" s="387"/>
      <c r="K11" s="387"/>
      <c r="L11" s="387"/>
      <c r="M11" s="387"/>
    </row>
    <row r="12" spans="1:13" ht="17.100000000000001" customHeight="1" thickBot="1" x14ac:dyDescent="0.25">
      <c r="A12" s="171" t="s">
        <v>221</v>
      </c>
      <c r="B12" s="172"/>
      <c r="C12" s="172"/>
      <c r="D12" s="172"/>
      <c r="E12" s="172"/>
      <c r="F12" s="286"/>
      <c r="G12" s="139"/>
      <c r="H12" s="387"/>
      <c r="I12" s="387"/>
      <c r="J12" s="387"/>
      <c r="K12" s="387"/>
      <c r="L12" s="387"/>
      <c r="M12" s="387"/>
    </row>
    <row r="13" spans="1:13" ht="15" customHeight="1" x14ac:dyDescent="0.2">
      <c r="A13" s="301" t="s">
        <v>222</v>
      </c>
      <c r="B13" s="221" t="s">
        <v>223</v>
      </c>
      <c r="C13" s="221" t="s">
        <v>224</v>
      </c>
      <c r="D13" s="222" t="s">
        <v>225</v>
      </c>
      <c r="E13" s="209"/>
      <c r="F13" s="345"/>
      <c r="G13" s="139"/>
      <c r="H13" s="387"/>
      <c r="I13" s="387"/>
      <c r="J13" s="387"/>
      <c r="K13" s="387"/>
      <c r="L13" s="387"/>
      <c r="M13" s="387"/>
    </row>
    <row r="14" spans="1:13" ht="15" customHeight="1" x14ac:dyDescent="0.2">
      <c r="A14" s="369" t="s">
        <v>226</v>
      </c>
      <c r="B14" s="391"/>
      <c r="C14" s="392">
        <v>25</v>
      </c>
      <c r="D14" s="393" t="s">
        <v>855</v>
      </c>
      <c r="E14" s="394"/>
      <c r="F14" s="395"/>
      <c r="G14" s="139"/>
      <c r="H14" s="387"/>
      <c r="I14" s="387"/>
      <c r="J14" s="387"/>
      <c r="K14" s="387"/>
      <c r="L14" s="387"/>
      <c r="M14" s="387"/>
    </row>
    <row r="15" spans="1:13" ht="15" customHeight="1" x14ac:dyDescent="0.2">
      <c r="A15" s="369" t="s">
        <v>227</v>
      </c>
      <c r="B15" s="391"/>
      <c r="C15" s="392">
        <v>0.66</v>
      </c>
      <c r="D15" s="393" t="s">
        <v>855</v>
      </c>
      <c r="E15" s="394"/>
      <c r="F15" s="395"/>
      <c r="G15" s="139"/>
      <c r="H15" s="387"/>
      <c r="I15" s="387"/>
      <c r="J15" s="387"/>
      <c r="K15" s="387"/>
      <c r="L15" s="387"/>
      <c r="M15" s="387"/>
    </row>
    <row r="16" spans="1:13" ht="15" customHeight="1" x14ac:dyDescent="0.2">
      <c r="A16" s="369" t="s">
        <v>228</v>
      </c>
      <c r="B16" s="396"/>
      <c r="C16" s="392">
        <v>828</v>
      </c>
      <c r="D16" s="393" t="s">
        <v>855</v>
      </c>
      <c r="E16" s="394"/>
      <c r="F16" s="395"/>
      <c r="G16" s="139"/>
      <c r="H16" s="387"/>
      <c r="I16" s="387"/>
      <c r="J16" s="387"/>
      <c r="K16" s="387"/>
      <c r="L16" s="387"/>
      <c r="M16" s="387"/>
    </row>
    <row r="17" spans="1:14" ht="15" customHeight="1" x14ac:dyDescent="0.2">
      <c r="A17" s="369" t="s">
        <v>229</v>
      </c>
      <c r="B17" s="391"/>
      <c r="C17" s="392">
        <v>168.7</v>
      </c>
      <c r="D17" s="393" t="s">
        <v>855</v>
      </c>
      <c r="E17" s="394"/>
      <c r="F17" s="395"/>
      <c r="G17" s="139"/>
      <c r="H17" s="387"/>
      <c r="I17" s="387"/>
      <c r="J17" s="387"/>
      <c r="K17" s="387"/>
      <c r="L17" s="387"/>
      <c r="M17" s="387"/>
      <c r="N17" s="397"/>
    </row>
    <row r="18" spans="1:14" ht="15" customHeight="1" x14ac:dyDescent="0.2">
      <c r="A18" s="282" t="s">
        <v>230</v>
      </c>
      <c r="B18" s="396"/>
      <c r="C18" s="392" t="s">
        <v>855</v>
      </c>
      <c r="D18" s="393" t="s">
        <v>855</v>
      </c>
      <c r="E18" s="394"/>
      <c r="F18" s="395"/>
      <c r="G18" s="139"/>
      <c r="H18" s="387"/>
      <c r="I18" s="387"/>
      <c r="J18" s="387"/>
      <c r="K18" s="387"/>
      <c r="L18" s="387"/>
      <c r="M18" s="387"/>
      <c r="N18" s="387"/>
    </row>
    <row r="19" spans="1:14" ht="15" customHeight="1" x14ac:dyDescent="0.2">
      <c r="A19" s="369" t="s">
        <v>231</v>
      </c>
      <c r="B19" s="391"/>
      <c r="C19" s="392" t="s">
        <v>855</v>
      </c>
      <c r="D19" s="393" t="s">
        <v>855</v>
      </c>
      <c r="E19" s="394"/>
      <c r="F19" s="395"/>
      <c r="G19" s="139"/>
      <c r="H19" s="387"/>
      <c r="I19" s="387"/>
      <c r="J19" s="387"/>
      <c r="K19" s="387"/>
      <c r="L19" s="387"/>
      <c r="M19" s="387"/>
      <c r="N19" s="387"/>
    </row>
    <row r="20" spans="1:14" ht="15" customHeight="1" x14ac:dyDescent="0.2">
      <c r="A20" s="369" t="s">
        <v>232</v>
      </c>
      <c r="B20" s="159"/>
      <c r="C20" s="392" t="s">
        <v>855</v>
      </c>
      <c r="D20" s="393">
        <v>15</v>
      </c>
      <c r="E20" s="394"/>
      <c r="F20" s="395"/>
      <c r="G20" s="139"/>
      <c r="H20" s="387"/>
      <c r="I20" s="387"/>
      <c r="J20" s="387"/>
      <c r="K20" s="387"/>
      <c r="L20" s="387"/>
      <c r="M20" s="387"/>
      <c r="N20" s="387"/>
    </row>
    <row r="21" spans="1:14" ht="31.5" customHeight="1" x14ac:dyDescent="0.2">
      <c r="A21" s="398" t="s">
        <v>233</v>
      </c>
      <c r="B21" s="159"/>
      <c r="C21" s="392" t="s">
        <v>855</v>
      </c>
      <c r="D21" s="393" t="s">
        <v>855</v>
      </c>
      <c r="E21" s="394"/>
      <c r="F21" s="395"/>
      <c r="G21" s="139"/>
      <c r="H21" s="387"/>
      <c r="I21" s="387"/>
      <c r="J21" s="387"/>
      <c r="K21" s="387"/>
      <c r="L21" s="387"/>
      <c r="M21" s="387"/>
      <c r="N21" s="387"/>
    </row>
    <row r="22" spans="1:14" ht="15" customHeight="1" x14ac:dyDescent="0.2">
      <c r="A22" s="398" t="s">
        <v>234</v>
      </c>
      <c r="B22" s="159"/>
      <c r="C22" s="392" t="s">
        <v>855</v>
      </c>
      <c r="D22" s="393" t="s">
        <v>855</v>
      </c>
      <c r="E22" s="394"/>
      <c r="F22" s="395"/>
      <c r="G22" s="139"/>
      <c r="H22" s="387"/>
      <c r="I22" s="387"/>
      <c r="J22" s="387"/>
      <c r="K22" s="387"/>
      <c r="L22" s="387"/>
      <c r="M22" s="387"/>
      <c r="N22" s="387"/>
    </row>
    <row r="23" spans="1:14" ht="15" customHeight="1" x14ac:dyDescent="0.2">
      <c r="A23" s="398" t="s">
        <v>235</v>
      </c>
      <c r="B23" s="159"/>
      <c r="C23" s="392" t="s">
        <v>855</v>
      </c>
      <c r="D23" s="393" t="s">
        <v>855</v>
      </c>
      <c r="E23" s="394"/>
      <c r="F23" s="395"/>
      <c r="G23" s="139"/>
      <c r="H23" s="387"/>
      <c r="I23" s="387"/>
      <c r="J23" s="387"/>
      <c r="K23" s="387"/>
      <c r="L23" s="387"/>
      <c r="M23" s="387"/>
      <c r="N23" s="387"/>
    </row>
    <row r="24" spans="1:14" ht="15" customHeight="1" x14ac:dyDescent="0.2">
      <c r="A24" s="369" t="s">
        <v>236</v>
      </c>
      <c r="B24" s="159"/>
      <c r="C24" s="392" t="s">
        <v>855</v>
      </c>
      <c r="D24" s="393">
        <v>10</v>
      </c>
      <c r="E24" s="394"/>
      <c r="F24" s="395"/>
      <c r="G24" s="139"/>
      <c r="H24" s="387"/>
      <c r="I24" s="387" t="b">
        <f>$B$21="NO"</f>
        <v>0</v>
      </c>
      <c r="J24" s="387"/>
      <c r="K24" s="387"/>
      <c r="L24" s="387"/>
      <c r="M24" s="387"/>
      <c r="N24" s="387"/>
    </row>
    <row r="25" spans="1:14" ht="15" customHeight="1" x14ac:dyDescent="0.2">
      <c r="A25" s="369" t="s">
        <v>237</v>
      </c>
      <c r="B25" s="159"/>
      <c r="C25" s="392" t="s">
        <v>855</v>
      </c>
      <c r="D25" s="393">
        <v>300</v>
      </c>
      <c r="E25" s="394"/>
      <c r="F25" s="395"/>
      <c r="G25" s="139"/>
      <c r="H25" s="387"/>
      <c r="I25" s="387"/>
      <c r="J25" s="387"/>
      <c r="K25" s="387"/>
      <c r="L25" s="387"/>
      <c r="M25" s="387"/>
      <c r="N25" s="387"/>
    </row>
    <row r="26" spans="1:14" ht="15" customHeight="1" thickBot="1" x14ac:dyDescent="0.25">
      <c r="A26" s="283" t="s">
        <v>275</v>
      </c>
      <c r="B26" s="285">
        <f>B17*60*PI()/4*B15^2*(459.67+60)/(459.67+B16)</f>
        <v>0</v>
      </c>
      <c r="C26" s="399" t="s">
        <v>855</v>
      </c>
      <c r="D26" s="400" t="s">
        <v>855</v>
      </c>
      <c r="E26" s="401"/>
      <c r="F26" s="402"/>
      <c r="G26" s="139"/>
      <c r="H26" s="387"/>
      <c r="I26" s="387"/>
      <c r="J26" s="387"/>
      <c r="K26" s="387"/>
      <c r="L26" s="387"/>
      <c r="M26" s="387"/>
      <c r="N26" s="387"/>
    </row>
    <row r="27" spans="1:14" ht="15" customHeight="1" thickBot="1" x14ac:dyDescent="0.25">
      <c r="A27" s="403"/>
      <c r="B27" s="389"/>
      <c r="C27" s="389"/>
      <c r="D27" s="389"/>
      <c r="E27" s="387"/>
      <c r="F27" s="387"/>
      <c r="G27" s="139"/>
      <c r="H27" s="387"/>
      <c r="I27" s="387"/>
      <c r="J27" s="387"/>
      <c r="K27" s="387"/>
      <c r="L27" s="387"/>
      <c r="M27" s="387"/>
      <c r="N27" s="387"/>
    </row>
    <row r="28" spans="1:14" ht="15" customHeight="1" thickBot="1" x14ac:dyDescent="0.25">
      <c r="A28" s="160" t="s">
        <v>239</v>
      </c>
      <c r="B28" s="161"/>
      <c r="C28" s="161"/>
      <c r="D28" s="161"/>
      <c r="E28" s="161"/>
      <c r="F28" s="286"/>
      <c r="G28" s="139"/>
      <c r="H28" s="387"/>
      <c r="I28" s="387"/>
      <c r="J28" s="387"/>
      <c r="K28" s="387"/>
      <c r="L28" s="387"/>
      <c r="M28" s="387"/>
      <c r="N28" s="387"/>
    </row>
    <row r="29" spans="1:14" ht="15" x14ac:dyDescent="0.2">
      <c r="A29" s="225" t="s">
        <v>240</v>
      </c>
      <c r="B29" s="63" t="s">
        <v>241</v>
      </c>
      <c r="C29" s="221" t="s">
        <v>242</v>
      </c>
      <c r="D29" s="357" t="s">
        <v>243</v>
      </c>
      <c r="E29" s="882" t="s">
        <v>244</v>
      </c>
      <c r="F29" s="867"/>
      <c r="G29" s="139"/>
      <c r="H29" s="387"/>
      <c r="I29" s="387"/>
      <c r="J29" s="387"/>
      <c r="K29" s="387"/>
      <c r="L29" s="387"/>
      <c r="M29" s="387"/>
      <c r="N29" s="387"/>
    </row>
    <row r="30" spans="1:14" x14ac:dyDescent="0.2">
      <c r="A30" s="334" t="s">
        <v>245</v>
      </c>
      <c r="B30" s="404"/>
      <c r="C30" s="392" t="s">
        <v>246</v>
      </c>
      <c r="D30" s="355"/>
      <c r="E30" s="881" t="str">
        <f>IFERROR(INDEX(Reference!$AQ$14:$AQ$17,MATCH(D30,EngDDSource,0)),"")</f>
        <v/>
      </c>
      <c r="F30" s="865"/>
      <c r="G30" s="139"/>
      <c r="H30" s="387"/>
      <c r="I30" s="387"/>
      <c r="J30" s="387"/>
      <c r="K30" s="387"/>
      <c r="L30" s="387"/>
      <c r="M30" s="387"/>
      <c r="N30" s="387"/>
    </row>
    <row r="31" spans="1:14" x14ac:dyDescent="0.2">
      <c r="A31" s="334" t="s">
        <v>247</v>
      </c>
      <c r="B31" s="404"/>
      <c r="C31" s="392" t="s">
        <v>246</v>
      </c>
      <c r="D31" s="355"/>
      <c r="E31" s="881" t="str">
        <f>IFERROR(INDEX(Reference!$AQ$14:$AQ$17,MATCH(D31,EngDDSource,0)),"")</f>
        <v/>
      </c>
      <c r="F31" s="865"/>
      <c r="G31" s="139"/>
      <c r="H31" s="387"/>
      <c r="I31" s="387"/>
      <c r="J31" s="387"/>
      <c r="K31" s="387"/>
      <c r="L31" s="387"/>
      <c r="M31" s="387"/>
      <c r="N31" s="387"/>
    </row>
    <row r="32" spans="1:14" x14ac:dyDescent="0.2">
      <c r="A32" s="334" t="s">
        <v>248</v>
      </c>
      <c r="B32" s="153"/>
      <c r="C32" s="392" t="s">
        <v>246</v>
      </c>
      <c r="D32" s="355"/>
      <c r="E32" s="881" t="str">
        <f>IFERROR(INDEX(Reference!$AQ$14:$AQ$17,MATCH(D32,EngDDSource,0)),"")</f>
        <v/>
      </c>
      <c r="F32" s="865"/>
      <c r="G32" s="139"/>
      <c r="H32" s="387"/>
      <c r="I32" s="387"/>
      <c r="J32" s="387"/>
      <c r="K32" s="387"/>
      <c r="L32" s="387"/>
      <c r="M32" s="387"/>
      <c r="N32" s="387"/>
    </row>
    <row r="33" spans="1:13" x14ac:dyDescent="0.2">
      <c r="A33" s="334" t="s">
        <v>249</v>
      </c>
      <c r="B33" s="153"/>
      <c r="C33" s="392" t="s">
        <v>246</v>
      </c>
      <c r="D33" s="355"/>
      <c r="E33" s="881" t="str">
        <f>IFERROR(INDEX(Reference!$AQ$14:$AQ$17,MATCH(D33,EngDDSource,0)),"")</f>
        <v/>
      </c>
      <c r="F33" s="865"/>
      <c r="G33" s="139"/>
      <c r="H33" s="387"/>
      <c r="I33" s="387"/>
      <c r="J33" s="387"/>
      <c r="K33" s="387"/>
      <c r="L33" s="387"/>
      <c r="M33" s="387"/>
    </row>
    <row r="34" spans="1:13" x14ac:dyDescent="0.2">
      <c r="A34" s="334" t="s">
        <v>250</v>
      </c>
      <c r="B34" s="153"/>
      <c r="C34" s="392" t="s">
        <v>246</v>
      </c>
      <c r="D34" s="355"/>
      <c r="E34" s="881" t="str">
        <f>IFERROR(INDEX(Reference!$AQ$14:$AQ$17,MATCH(D34,EngDDSource,0)),"")</f>
        <v/>
      </c>
      <c r="F34" s="865"/>
      <c r="G34" s="139"/>
      <c r="H34" s="387"/>
      <c r="I34" s="387"/>
      <c r="J34" s="387"/>
      <c r="K34" s="387"/>
      <c r="L34" s="387"/>
      <c r="M34" s="387"/>
    </row>
    <row r="35" spans="1:13" x14ac:dyDescent="0.2">
      <c r="A35" s="334" t="s">
        <v>251</v>
      </c>
      <c r="B35" s="404"/>
      <c r="C35" s="392" t="s">
        <v>246</v>
      </c>
      <c r="D35" s="355"/>
      <c r="E35" s="881" t="str">
        <f>IFERROR(INDEX(Reference!$AQ$14:$AQ$17,MATCH(D35,EngDDSource,0)),"")</f>
        <v/>
      </c>
      <c r="F35" s="865"/>
      <c r="G35" s="139"/>
      <c r="H35" s="387"/>
      <c r="I35" s="387"/>
      <c r="J35" s="387"/>
      <c r="K35" s="387"/>
      <c r="L35" s="387"/>
      <c r="M35" s="387"/>
    </row>
    <row r="36" spans="1:13" ht="33.75" customHeight="1" x14ac:dyDescent="0.2">
      <c r="A36" s="334" t="s">
        <v>252</v>
      </c>
      <c r="B36" s="155" t="s">
        <v>855</v>
      </c>
      <c r="C36" s="392" t="s">
        <v>855</v>
      </c>
      <c r="D36" s="356" t="s">
        <v>253</v>
      </c>
      <c r="E36" s="881" t="s">
        <v>254</v>
      </c>
      <c r="F36" s="865"/>
      <c r="G36" s="139"/>
      <c r="H36" s="387"/>
      <c r="I36" s="387"/>
      <c r="J36" s="387"/>
      <c r="K36" s="387"/>
      <c r="L36" s="387"/>
      <c r="M36" s="387"/>
    </row>
    <row r="37" spans="1:13" ht="33.75" customHeight="1" x14ac:dyDescent="0.2">
      <c r="A37" s="334" t="s">
        <v>255</v>
      </c>
      <c r="B37" s="155" t="s">
        <v>855</v>
      </c>
      <c r="C37" s="392" t="s">
        <v>855</v>
      </c>
      <c r="D37" s="356" t="s">
        <v>253</v>
      </c>
      <c r="E37" s="881" t="s">
        <v>256</v>
      </c>
      <c r="F37" s="865"/>
      <c r="G37" s="139"/>
      <c r="H37" s="387"/>
      <c r="I37" s="387"/>
      <c r="J37" s="387"/>
      <c r="K37" s="387"/>
      <c r="L37" s="387"/>
      <c r="M37" s="387"/>
    </row>
    <row r="38" spans="1:13" ht="33.75" customHeight="1" thickBot="1" x14ac:dyDescent="0.25">
      <c r="A38" s="337" t="s">
        <v>257</v>
      </c>
      <c r="B38" s="341" t="s">
        <v>855</v>
      </c>
      <c r="C38" s="341" t="s">
        <v>855</v>
      </c>
      <c r="D38" s="358" t="s">
        <v>253</v>
      </c>
      <c r="E38" s="876" t="s">
        <v>258</v>
      </c>
      <c r="F38" s="877"/>
      <c r="G38" s="139"/>
      <c r="H38" s="387"/>
      <c r="I38" s="387" t="b">
        <f>$I$24</f>
        <v>0</v>
      </c>
      <c r="J38" s="387"/>
      <c r="K38" s="387"/>
      <c r="L38" s="387"/>
      <c r="M38" s="387"/>
    </row>
    <row r="39" spans="1:13" ht="15" customHeight="1" thickBot="1" x14ac:dyDescent="0.25">
      <c r="A39" s="403"/>
      <c r="B39" s="389"/>
      <c r="C39" s="389"/>
      <c r="D39" s="389"/>
      <c r="E39" s="387"/>
      <c r="F39" s="387"/>
      <c r="G39" s="139"/>
      <c r="H39" s="387"/>
      <c r="I39" s="387"/>
      <c r="J39" s="387"/>
      <c r="K39" s="387"/>
      <c r="L39" s="387"/>
      <c r="M39" s="387"/>
    </row>
    <row r="40" spans="1:13" ht="17.100000000000001" customHeight="1" thickBot="1" x14ac:dyDescent="0.25">
      <c r="A40" s="160" t="s">
        <v>259</v>
      </c>
      <c r="B40" s="161"/>
      <c r="C40" s="161"/>
      <c r="D40" s="161"/>
      <c r="E40" s="161"/>
      <c r="F40" s="286"/>
      <c r="G40" s="139"/>
      <c r="H40" s="387"/>
      <c r="I40" s="387"/>
      <c r="J40" s="387"/>
      <c r="K40" s="387"/>
      <c r="L40" s="387"/>
      <c r="M40" s="387"/>
    </row>
    <row r="41" spans="1:13" ht="46.5" customHeight="1" x14ac:dyDescent="0.2">
      <c r="A41" s="733" t="s">
        <v>260</v>
      </c>
      <c r="B41" s="842"/>
      <c r="C41" s="842"/>
      <c r="D41" s="842"/>
      <c r="E41" s="842"/>
      <c r="F41" s="868"/>
      <c r="G41" s="139"/>
      <c r="H41" s="387"/>
      <c r="I41" s="387"/>
      <c r="J41" s="387"/>
      <c r="K41" s="387"/>
      <c r="L41" s="387"/>
      <c r="M41" s="387"/>
    </row>
    <row r="42" spans="1:13" ht="49.5" customHeight="1" x14ac:dyDescent="0.2">
      <c r="A42" s="225" t="s">
        <v>240</v>
      </c>
      <c r="B42" s="221" t="s">
        <v>261</v>
      </c>
      <c r="C42" s="221" t="s">
        <v>262</v>
      </c>
      <c r="D42" s="221" t="s">
        <v>263</v>
      </c>
      <c r="E42" s="222" t="s">
        <v>264</v>
      </c>
      <c r="F42" s="343"/>
      <c r="G42" s="139"/>
      <c r="H42" s="387"/>
      <c r="I42" s="387"/>
      <c r="J42" s="387"/>
      <c r="K42" s="387"/>
      <c r="L42" s="387"/>
      <c r="M42" s="387"/>
    </row>
    <row r="43" spans="1:13" ht="15" customHeight="1" x14ac:dyDescent="0.2">
      <c r="A43" s="405" t="s">
        <v>245</v>
      </c>
      <c r="B43" s="406">
        <f t="shared" ref="B43:B48" si="0">$B$18*B30/453.6</f>
        <v>0</v>
      </c>
      <c r="C43" s="407">
        <v>1.85</v>
      </c>
      <c r="D43" s="406">
        <f t="shared" ref="D43:D51" si="1">B43*$B$25/2000</f>
        <v>0</v>
      </c>
      <c r="E43" s="393">
        <v>0.27750000000000002</v>
      </c>
      <c r="F43" s="390"/>
      <c r="G43" s="139"/>
      <c r="H43" s="387"/>
      <c r="I43" s="387"/>
      <c r="J43" s="387" t="b">
        <f>$B43&gt;$C43</f>
        <v>0</v>
      </c>
      <c r="K43" s="387"/>
      <c r="L43" s="387" t="b">
        <f>$D43&gt;$E43</f>
        <v>0</v>
      </c>
      <c r="M43" s="387"/>
    </row>
    <row r="44" spans="1:13" ht="15" customHeight="1" x14ac:dyDescent="0.2">
      <c r="A44" s="405" t="s">
        <v>247</v>
      </c>
      <c r="B44" s="406">
        <f t="shared" si="0"/>
        <v>0</v>
      </c>
      <c r="C44" s="407">
        <v>5.43</v>
      </c>
      <c r="D44" s="406">
        <f t="shared" si="1"/>
        <v>0</v>
      </c>
      <c r="E44" s="393" t="s">
        <v>855</v>
      </c>
      <c r="F44" s="390"/>
      <c r="G44" s="139"/>
      <c r="H44" s="387"/>
      <c r="I44" s="387"/>
      <c r="J44" s="387" t="b">
        <f t="shared" ref="J44:J51" si="2">$B44&gt;$C44</f>
        <v>0</v>
      </c>
      <c r="K44" s="387"/>
      <c r="L44" s="387"/>
      <c r="M44" s="387"/>
    </row>
    <row r="45" spans="1:13" ht="15" customHeight="1" x14ac:dyDescent="0.2">
      <c r="A45" s="405" t="s">
        <v>248</v>
      </c>
      <c r="B45" s="406">
        <f t="shared" si="0"/>
        <v>0</v>
      </c>
      <c r="C45" s="392" t="s">
        <v>855</v>
      </c>
      <c r="D45" s="406">
        <f t="shared" si="1"/>
        <v>0</v>
      </c>
      <c r="E45" s="393" t="s">
        <v>855</v>
      </c>
      <c r="F45" s="390"/>
      <c r="G45" s="139"/>
      <c r="H45" s="387"/>
      <c r="I45" s="387"/>
      <c r="J45" s="387"/>
      <c r="K45" s="387"/>
      <c r="L45" s="387"/>
      <c r="M45" s="387"/>
    </row>
    <row r="46" spans="1:13" ht="15" customHeight="1" x14ac:dyDescent="0.2">
      <c r="A46" s="405" t="s">
        <v>249</v>
      </c>
      <c r="B46" s="406">
        <f t="shared" si="0"/>
        <v>0</v>
      </c>
      <c r="C46" s="408">
        <v>2.1999999999999999E-2</v>
      </c>
      <c r="D46" s="406">
        <f t="shared" si="1"/>
        <v>0</v>
      </c>
      <c r="E46" s="393" t="s">
        <v>855</v>
      </c>
      <c r="F46" s="390"/>
      <c r="G46" s="139"/>
      <c r="H46" s="387"/>
      <c r="I46" s="387"/>
      <c r="J46" s="387" t="b">
        <f t="shared" si="2"/>
        <v>0</v>
      </c>
      <c r="K46" s="387"/>
      <c r="L46" s="387"/>
      <c r="M46" s="387"/>
    </row>
    <row r="47" spans="1:13" ht="15" customHeight="1" x14ac:dyDescent="0.2">
      <c r="A47" s="405" t="s">
        <v>250</v>
      </c>
      <c r="B47" s="406">
        <f t="shared" si="0"/>
        <v>0</v>
      </c>
      <c r="C47" s="408">
        <v>2.1999999999999999E-2</v>
      </c>
      <c r="D47" s="406">
        <f t="shared" si="1"/>
        <v>0</v>
      </c>
      <c r="E47" s="393">
        <v>3.3999999999999998E-3</v>
      </c>
      <c r="F47" s="390"/>
      <c r="G47" s="139"/>
      <c r="H47" s="387"/>
      <c r="I47" s="387"/>
      <c r="J47" s="387" t="b">
        <f t="shared" si="2"/>
        <v>0</v>
      </c>
      <c r="K47" s="387"/>
      <c r="L47" s="387" t="b">
        <f t="shared" ref="L47:L51" si="3">$D47&gt;$E47</f>
        <v>0</v>
      </c>
      <c r="M47" s="387"/>
    </row>
    <row r="48" spans="1:13" ht="15" customHeight="1" x14ac:dyDescent="0.2">
      <c r="A48" s="405" t="s">
        <v>251</v>
      </c>
      <c r="B48" s="406">
        <f t="shared" si="0"/>
        <v>0</v>
      </c>
      <c r="C48" s="392" t="s">
        <v>855</v>
      </c>
      <c r="D48" s="406">
        <f t="shared" si="1"/>
        <v>0</v>
      </c>
      <c r="E48" s="393" t="s">
        <v>855</v>
      </c>
      <c r="F48" s="390"/>
      <c r="G48" s="139"/>
      <c r="H48" s="387"/>
      <c r="I48" s="387"/>
      <c r="J48" s="387"/>
      <c r="K48" s="387"/>
      <c r="L48" s="387"/>
      <c r="M48" s="387"/>
    </row>
    <row r="49" spans="1:13" ht="15" customHeight="1" x14ac:dyDescent="0.2">
      <c r="A49" s="405" t="s">
        <v>252</v>
      </c>
      <c r="B49" s="406">
        <f>$B$19*7.05*$B$18*($B$20/1000000)*(64/32)</f>
        <v>0</v>
      </c>
      <c r="C49" s="408">
        <v>5.8999999999999997E-2</v>
      </c>
      <c r="D49" s="406">
        <f t="shared" si="1"/>
        <v>0</v>
      </c>
      <c r="E49" s="393">
        <v>8.8000000000000005E-3</v>
      </c>
      <c r="F49" s="390"/>
      <c r="G49" s="139"/>
      <c r="H49" s="387"/>
      <c r="I49" s="387"/>
      <c r="J49" s="387" t="b">
        <f t="shared" si="2"/>
        <v>0</v>
      </c>
      <c r="K49" s="387"/>
      <c r="L49" s="387" t="b">
        <f t="shared" si="3"/>
        <v>0</v>
      </c>
      <c r="M49" s="387"/>
    </row>
    <row r="50" spans="1:13" ht="15" customHeight="1" x14ac:dyDescent="0.2">
      <c r="A50" s="405" t="s">
        <v>255</v>
      </c>
      <c r="B50" s="406">
        <f>$B$49*(1/64.06)*(0.1/1)*98.07</f>
        <v>0</v>
      </c>
      <c r="C50" s="409">
        <v>5.7000000000000002E-3</v>
      </c>
      <c r="D50" s="406">
        <f t="shared" si="1"/>
        <v>0</v>
      </c>
      <c r="E50" s="393" t="s">
        <v>855</v>
      </c>
      <c r="F50" s="390"/>
      <c r="G50" s="139"/>
      <c r="H50" s="387"/>
      <c r="I50" s="387"/>
      <c r="J50" s="387" t="b">
        <f t="shared" si="2"/>
        <v>0</v>
      </c>
      <c r="K50" s="387"/>
      <c r="L50" s="387"/>
      <c r="M50" s="387"/>
    </row>
    <row r="51" spans="1:13" ht="15" customHeight="1" x14ac:dyDescent="0.2">
      <c r="A51" s="410" t="s">
        <v>257</v>
      </c>
      <c r="B51" s="226">
        <f>IF(B21="no",0,$B$24*(17/379)*$B$26*(60/1000000))</f>
        <v>0</v>
      </c>
      <c r="C51" s="226">
        <v>0.129</v>
      </c>
      <c r="D51" s="411">
        <f t="shared" si="1"/>
        <v>0</v>
      </c>
      <c r="E51" s="412">
        <v>1.9300000000000001E-2</v>
      </c>
      <c r="F51" s="390"/>
      <c r="G51" s="139"/>
      <c r="H51" s="387"/>
      <c r="I51" s="387" t="b">
        <f>$I$24</f>
        <v>0</v>
      </c>
      <c r="J51" s="387" t="b">
        <f t="shared" si="2"/>
        <v>0</v>
      </c>
      <c r="K51" s="387"/>
      <c r="L51" s="387" t="b">
        <f t="shared" si="3"/>
        <v>0</v>
      </c>
      <c r="M51" s="387"/>
    </row>
    <row r="52" spans="1:13" ht="90.75" customHeight="1" thickBot="1" x14ac:dyDescent="0.25">
      <c r="A52" s="878" t="s">
        <v>265</v>
      </c>
      <c r="B52" s="844"/>
      <c r="C52" s="844"/>
      <c r="D52" s="844"/>
      <c r="E52" s="844"/>
      <c r="F52" s="879"/>
      <c r="G52" s="139"/>
      <c r="H52" s="387"/>
      <c r="I52" s="387"/>
      <c r="J52" s="387"/>
      <c r="K52" s="387"/>
      <c r="L52" s="387"/>
      <c r="M52" s="387"/>
    </row>
    <row r="53" spans="1:13" ht="15" customHeight="1" thickBot="1" x14ac:dyDescent="0.25">
      <c r="A53" s="316"/>
      <c r="B53" s="154"/>
      <c r="C53" s="154"/>
      <c r="D53" s="154"/>
      <c r="E53" s="154"/>
      <c r="F53" s="154"/>
      <c r="G53" s="139"/>
      <c r="H53" s="387"/>
      <c r="I53" s="387"/>
      <c r="J53" s="387"/>
      <c r="K53" s="387"/>
      <c r="L53" s="387"/>
      <c r="M53" s="387"/>
    </row>
    <row r="54" spans="1:13" ht="17.100000000000001" customHeight="1" thickBot="1" x14ac:dyDescent="0.25">
      <c r="A54" s="194" t="s">
        <v>266</v>
      </c>
      <c r="B54" s="195"/>
      <c r="C54" s="195"/>
      <c r="D54" s="195"/>
      <c r="E54" s="195"/>
      <c r="F54" s="286"/>
      <c r="G54" s="139"/>
      <c r="H54" s="387"/>
      <c r="I54" s="387"/>
      <c r="J54" s="387"/>
      <c r="K54" s="387"/>
      <c r="L54" s="387"/>
      <c r="M54" s="387"/>
    </row>
    <row r="55" spans="1:13" ht="20.100000000000001" customHeight="1" thickBot="1" x14ac:dyDescent="0.25">
      <c r="A55" s="413" t="s">
        <v>267</v>
      </c>
      <c r="B55" s="414"/>
      <c r="C55" s="414"/>
      <c r="D55" s="414"/>
      <c r="E55" s="414"/>
      <c r="F55" s="415"/>
      <c r="G55" s="139"/>
      <c r="H55" s="387"/>
      <c r="I55" s="387"/>
      <c r="J55" s="387"/>
      <c r="K55" s="387"/>
      <c r="L55" s="387"/>
      <c r="M55" s="387"/>
    </row>
    <row r="56" spans="1:13" ht="20.100000000000001" customHeight="1" x14ac:dyDescent="0.2">
      <c r="A56" s="204" t="s">
        <v>268</v>
      </c>
      <c r="B56" s="201"/>
      <c r="C56" s="201"/>
      <c r="D56" s="201"/>
      <c r="E56" s="201"/>
      <c r="F56" s="352"/>
      <c r="G56" s="139"/>
      <c r="H56" s="387"/>
      <c r="I56" s="387"/>
      <c r="J56" s="387"/>
      <c r="K56" s="387"/>
      <c r="L56" s="387"/>
      <c r="M56" s="387"/>
    </row>
    <row r="57" spans="1:13" customFormat="1" ht="20.100000000000001" customHeight="1" x14ac:dyDescent="0.2">
      <c r="A57" s="90" t="str">
        <f>"("&amp;TEXT($B$18,"#,##0")&amp;" hp × "&amp;$B$30&amp;" g/hp-hr)"&amp;" ÷ 453.6 lb/g = "&amp;TEXT(($B$18*B30)/453.6,"#,##0.00##")&amp;" lb/hr"</f>
        <v>(0 hp ×  g/hp-hr) ÷ 453.6 lb/g = 0.00 lb/hr</v>
      </c>
      <c r="B57" s="91"/>
      <c r="C57" s="91"/>
      <c r="D57" s="91"/>
      <c r="E57" s="91"/>
      <c r="F57" s="91"/>
      <c r="G57" s="193"/>
    </row>
    <row r="58" spans="1:13" ht="20.100000000000001" customHeight="1" x14ac:dyDescent="0.2">
      <c r="A58" s="205" t="s">
        <v>269</v>
      </c>
      <c r="B58" s="206"/>
      <c r="C58" s="206"/>
      <c r="D58" s="206"/>
      <c r="E58" s="206"/>
      <c r="F58" s="354"/>
      <c r="G58" s="139"/>
      <c r="H58" s="387"/>
      <c r="I58" s="387"/>
      <c r="J58" s="387"/>
      <c r="K58" s="387"/>
      <c r="L58" s="387"/>
      <c r="M58" s="387"/>
    </row>
    <row r="59" spans="1:13" customFormat="1" ht="20.100000000000001" customHeight="1" x14ac:dyDescent="0.2">
      <c r="A59" s="869" t="str">
        <f>"("&amp;TEXT(B19,"#,##0")&amp;" gal diesel/hp-hr × 7.05 lb diesel/gal diesel × "&amp;TEXT($B$18,"#,##0")&amp;" hp)"&amp;" × ("&amp;$B$20&amp;" lb S ÷ 1,000,000 lb diesel)"&amp;" × (64 lb SO2 ÷ 32 lb S) = "&amp;TEXT($B$19*7.05*$B$18*($B$20/1000000)*(64/32),"#,##0.00##")&amp;" lb/hr"</f>
        <v>(0 gal diesel/hp-hr × 7.05 lb diesel/gal diesel × 0 hp) × ( lb S ÷ 1,000,000 lb diesel) × (64 lb SO2 ÷ 32 lb S) = 0.00 lb/hr</v>
      </c>
      <c r="B59" s="870"/>
      <c r="C59" s="870"/>
      <c r="D59" s="870"/>
      <c r="E59" s="870"/>
      <c r="F59" s="871"/>
      <c r="G59" s="193"/>
    </row>
    <row r="60" spans="1:13" ht="20.100000000000001" customHeight="1" x14ac:dyDescent="0.2">
      <c r="A60" s="353" t="s">
        <v>270</v>
      </c>
      <c r="B60" s="271"/>
      <c r="C60" s="271"/>
      <c r="D60" s="271"/>
      <c r="E60" s="271"/>
      <c r="F60" s="271"/>
      <c r="G60" s="139"/>
      <c r="H60" s="387"/>
      <c r="I60" s="387"/>
      <c r="J60" s="387"/>
      <c r="K60" s="387"/>
      <c r="L60" s="387"/>
      <c r="M60" s="387"/>
    </row>
    <row r="61" spans="1:13" customFormat="1" ht="30" customHeight="1" x14ac:dyDescent="0.2">
      <c r="A61" s="707" t="str">
        <f>"("&amp;TEXT($B$49,"#,##0.00")&amp;" lb/hr) × (1 lb mol SO2 ÷ 64.06 lb SO2) × (0.1 lb mol SO3 ÷ 1 lb mol SO2) × (1 lb mol H2SO4 ÷ 1 lb mol SO3) × (98.07 lb H2SO4 ÷ 1 lb mol H2SO4) = "&amp;TEXT($B$49*(1/64.06)*(0.1/1)*98.07,"#,##0.00##")&amp;" lb/hr"</f>
        <v>(0.00 lb/hr) × (1 lb mol SO2 ÷ 64.06 lb SO2) × (0.1 lb mol SO3 ÷ 1 lb mol SO2) × (1 lb mol H2SO4 ÷ 1 lb mol SO3) × (98.07 lb H2SO4 ÷ 1 lb mol H2SO4) = 0.00 lb/hr</v>
      </c>
      <c r="B61" s="859"/>
      <c r="C61" s="859"/>
      <c r="D61" s="859"/>
      <c r="E61" s="859"/>
      <c r="F61" s="860"/>
      <c r="G61" s="193"/>
    </row>
    <row r="62" spans="1:13" ht="20.100000000000001" customHeight="1" x14ac:dyDescent="0.2">
      <c r="A62" s="90" t="s">
        <v>271</v>
      </c>
      <c r="B62" s="415"/>
      <c r="C62" s="415"/>
      <c r="D62" s="415"/>
      <c r="E62" s="415"/>
      <c r="F62" s="415"/>
      <c r="G62" s="139"/>
      <c r="H62" s="387"/>
      <c r="I62" s="387"/>
      <c r="J62" s="387"/>
      <c r="K62" s="387"/>
      <c r="L62" s="387"/>
      <c r="M62" s="387"/>
    </row>
    <row r="63" spans="1:13" ht="20.100000000000001" customHeight="1" x14ac:dyDescent="0.2">
      <c r="A63" s="205" t="s">
        <v>272</v>
      </c>
      <c r="B63" s="206"/>
      <c r="C63" s="206"/>
      <c r="D63" s="206"/>
      <c r="E63" s="206"/>
      <c r="F63" s="354"/>
      <c r="G63" s="139"/>
      <c r="H63" s="387"/>
      <c r="I63" s="387" t="b">
        <f>$I$24</f>
        <v>0</v>
      </c>
      <c r="J63" s="387"/>
      <c r="K63" s="387"/>
      <c r="L63" s="387"/>
      <c r="M63" s="387"/>
    </row>
    <row r="64" spans="1:13" customFormat="1" ht="20.100000000000001" customHeight="1" x14ac:dyDescent="0.2">
      <c r="A64" s="869" t="str">
        <f>"("&amp;TEXT($B$24,"#,##0.00")&amp;" ppm NH3 × 17 lb NH3/lb-mol × "&amp;TEXT($B$26,"#,##0.00")&amp;" scf/min × 60 min/hr) ÷ (379.00 dscf/lb-mol × 1,000,000) = "&amp;TEXT($B$24*(17/379)*$B$26*(60/1000000),"#,##0.00##")&amp;" lb/hr"</f>
        <v>(0.00 ppm NH3 × 17 lb NH3/lb-mol × 0.00 scf/min × 60 min/hr) ÷ (379.00 dscf/lb-mol × 1,000,000) = 0.00 lb/hr</v>
      </c>
      <c r="B64" s="870"/>
      <c r="C64" s="870"/>
      <c r="D64" s="870"/>
      <c r="E64" s="870"/>
      <c r="F64" s="871"/>
      <c r="G64" s="193"/>
      <c r="I64" t="b">
        <f>$I$24</f>
        <v>0</v>
      </c>
    </row>
    <row r="65" spans="1:13" ht="20.100000000000001" customHeight="1" x14ac:dyDescent="0.2">
      <c r="A65" s="353" t="s">
        <v>273</v>
      </c>
      <c r="B65" s="271"/>
      <c r="C65" s="271"/>
      <c r="D65" s="271"/>
      <c r="E65" s="271"/>
      <c r="F65" s="271"/>
      <c r="G65" s="139"/>
      <c r="H65" s="387"/>
      <c r="I65" s="387"/>
      <c r="J65" s="387"/>
      <c r="K65" s="387"/>
      <c r="L65" s="387"/>
      <c r="M65" s="387"/>
    </row>
    <row r="66" spans="1:13" customFormat="1" ht="20.100000000000001" customHeight="1" thickBot="1" x14ac:dyDescent="0.25">
      <c r="A66" s="207" t="str">
        <f>"("&amp;TEXT($B$43,"#,##0.00")&amp;" lb/hr × "&amp;$B$25&amp;" hr/yr)"&amp;" ÷  2000 lb/ton = "&amp;TEXT(($B$43*$B$25)/2000,"#,##0.00##")&amp;" tpy"</f>
        <v>(0.00 lb/hr ×  hr/yr) ÷  2000 lb/ton = 0.00 tpy</v>
      </c>
      <c r="B66" s="208"/>
      <c r="C66" s="208"/>
      <c r="D66" s="208"/>
      <c r="E66" s="208"/>
      <c r="F66" s="208"/>
      <c r="G66" s="143"/>
    </row>
    <row r="67" spans="1:13" ht="8.4499999999999993" customHeight="1" x14ac:dyDescent="0.2">
      <c r="A67" s="313"/>
      <c r="B67" s="164"/>
      <c r="C67" s="164"/>
      <c r="D67" s="164"/>
      <c r="E67" s="164"/>
      <c r="F67" s="164"/>
      <c r="G67" s="164"/>
      <c r="H67" s="387"/>
      <c r="I67" s="387"/>
      <c r="J67" s="387"/>
      <c r="K67" s="387"/>
      <c r="L67" s="387"/>
      <c r="M67" s="387"/>
    </row>
    <row r="68" spans="1:13" x14ac:dyDescent="0.2">
      <c r="A68" s="812" t="str">
        <f>HYPERLINK("#Sheet_Eng8","End of sheet. Click here to move to the next sheet.")</f>
        <v>End of sheet. Click here to move to the next sheet.</v>
      </c>
      <c r="B68" s="858"/>
      <c r="C68" s="858"/>
      <c r="D68" s="858"/>
      <c r="E68" s="858"/>
      <c r="F68" s="858"/>
      <c r="G68" s="146"/>
      <c r="H68" s="387"/>
      <c r="I68" s="387"/>
      <c r="J68" s="387"/>
      <c r="K68" s="387"/>
      <c r="L68" s="387"/>
      <c r="M68" s="387"/>
    </row>
    <row r="69" spans="1:13" ht="8.4499999999999993" hidden="1" customHeight="1" x14ac:dyDescent="0.2">
      <c r="A69" s="85"/>
      <c r="B69" s="85"/>
      <c r="C69" s="85"/>
      <c r="D69" s="85"/>
      <c r="E69" s="85"/>
      <c r="F69" s="85"/>
      <c r="G69" s="85"/>
      <c r="H69" s="387"/>
      <c r="I69" s="387"/>
      <c r="J69" s="387"/>
      <c r="K69" s="387"/>
      <c r="L69" s="387"/>
      <c r="M69" s="387"/>
    </row>
    <row r="70" spans="1:13" hidden="1" x14ac:dyDescent="0.2">
      <c r="A70" s="387"/>
      <c r="B70" s="387"/>
      <c r="C70" s="387"/>
      <c r="D70" s="387"/>
      <c r="E70" s="387"/>
      <c r="F70" s="387"/>
      <c r="G70" s="387"/>
      <c r="H70" s="387"/>
      <c r="I70" s="387"/>
      <c r="J70" s="387"/>
      <c r="K70" s="387"/>
      <c r="L70" s="387"/>
      <c r="M70" s="387"/>
    </row>
    <row r="71" spans="1:13" hidden="1" x14ac:dyDescent="0.2">
      <c r="A71" s="387"/>
      <c r="B71" s="387"/>
      <c r="C71" s="387"/>
      <c r="D71" s="387"/>
      <c r="E71" s="387"/>
      <c r="F71" s="387"/>
      <c r="G71" s="387"/>
      <c r="H71" s="387"/>
      <c r="I71" s="387"/>
      <c r="J71" s="387"/>
      <c r="K71" s="387"/>
      <c r="L71" s="387"/>
      <c r="M71" s="387"/>
    </row>
    <row r="72" spans="1:13" hidden="1" x14ac:dyDescent="0.2">
      <c r="A72" s="387"/>
      <c r="B72" s="387"/>
      <c r="C72" s="387"/>
      <c r="D72" s="387"/>
      <c r="E72" s="387"/>
      <c r="F72" s="387"/>
      <c r="G72" s="387"/>
      <c r="H72" s="387"/>
      <c r="I72" s="387"/>
      <c r="J72" s="387"/>
      <c r="K72" s="387"/>
      <c r="L72" s="387"/>
      <c r="M72" s="387"/>
    </row>
    <row r="73" spans="1:13" hidden="1" x14ac:dyDescent="0.2">
      <c r="A73" s="387"/>
      <c r="B73" s="387"/>
      <c r="C73" s="387"/>
      <c r="D73" s="387"/>
      <c r="E73" s="387"/>
      <c r="F73" s="387"/>
      <c r="G73" s="387"/>
      <c r="H73" s="387"/>
      <c r="I73" s="387"/>
      <c r="J73" s="387"/>
      <c r="K73" s="387"/>
      <c r="L73" s="387"/>
      <c r="M73" s="387"/>
    </row>
    <row r="74" spans="1:13" hidden="1" x14ac:dyDescent="0.2">
      <c r="A74" s="387"/>
      <c r="B74" s="387"/>
      <c r="C74" s="387"/>
      <c r="D74" s="387"/>
      <c r="E74" s="387"/>
      <c r="F74" s="387"/>
      <c r="G74" s="387"/>
      <c r="H74" s="387"/>
      <c r="I74" s="387"/>
      <c r="J74" s="387"/>
      <c r="K74" s="387"/>
      <c r="L74" s="387"/>
      <c r="M74" s="387"/>
    </row>
    <row r="75" spans="1:13" hidden="1" x14ac:dyDescent="0.2">
      <c r="A75" s="387"/>
      <c r="B75" s="387"/>
      <c r="C75" s="387"/>
      <c r="D75" s="387"/>
      <c r="E75" s="387"/>
      <c r="F75" s="387"/>
      <c r="G75" s="387"/>
      <c r="H75" s="387"/>
      <c r="I75" s="387"/>
      <c r="J75" s="387"/>
      <c r="K75" s="387"/>
      <c r="L75" s="387"/>
      <c r="M75" s="387"/>
    </row>
    <row r="76" spans="1:13" hidden="1" x14ac:dyDescent="0.2">
      <c r="A76" s="387"/>
      <c r="B76" s="387"/>
      <c r="C76" s="387"/>
      <c r="D76" s="387"/>
      <c r="E76" s="387"/>
      <c r="F76" s="387"/>
      <c r="G76" s="387"/>
      <c r="H76" s="387"/>
      <c r="I76" s="387"/>
      <c r="J76" s="387"/>
      <c r="K76" s="387"/>
      <c r="L76" s="387"/>
      <c r="M76" s="387"/>
    </row>
    <row r="77" spans="1:13" hidden="1" x14ac:dyDescent="0.2">
      <c r="A77" s="387"/>
      <c r="B77" s="387"/>
      <c r="C77" s="387"/>
      <c r="D77" s="387"/>
      <c r="E77" s="387"/>
      <c r="F77" s="387"/>
      <c r="G77" s="387"/>
      <c r="H77" s="387"/>
      <c r="I77" s="387"/>
      <c r="J77" s="387"/>
      <c r="K77" s="387"/>
      <c r="L77" s="387"/>
      <c r="M77" s="387"/>
    </row>
    <row r="78" spans="1:13" hidden="1" x14ac:dyDescent="0.2">
      <c r="A78" s="387"/>
      <c r="B78" s="387"/>
      <c r="C78" s="387"/>
      <c r="D78" s="387"/>
      <c r="E78" s="387"/>
      <c r="F78" s="387"/>
      <c r="G78" s="387"/>
      <c r="H78" s="387"/>
      <c r="I78" s="387"/>
      <c r="J78" s="387"/>
      <c r="K78" s="387"/>
      <c r="L78" s="387"/>
      <c r="M78" s="387"/>
    </row>
    <row r="79" spans="1:13" hidden="1" x14ac:dyDescent="0.2">
      <c r="A79" s="387"/>
      <c r="B79" s="387"/>
      <c r="C79" s="387"/>
      <c r="D79" s="387"/>
      <c r="E79" s="387"/>
      <c r="F79" s="387"/>
      <c r="G79" s="387"/>
      <c r="H79" s="387"/>
      <c r="I79" s="387"/>
      <c r="J79" s="387"/>
      <c r="K79" s="387"/>
      <c r="L79" s="387"/>
      <c r="M79" s="387"/>
    </row>
    <row r="80" spans="1:13" hidden="1" x14ac:dyDescent="0.2">
      <c r="A80" s="387"/>
      <c r="B80" s="387"/>
      <c r="C80" s="387"/>
      <c r="D80" s="387"/>
      <c r="E80" s="387"/>
      <c r="F80" s="387"/>
      <c r="G80" s="387"/>
      <c r="H80" s="387"/>
      <c r="I80" s="387"/>
      <c r="J80" s="387"/>
      <c r="K80" s="387"/>
      <c r="L80" s="387"/>
      <c r="M80" s="387"/>
    </row>
    <row r="81" spans="1:13" hidden="1" x14ac:dyDescent="0.2">
      <c r="A81" s="387"/>
      <c r="B81" s="387"/>
      <c r="C81" s="387"/>
      <c r="D81" s="387"/>
      <c r="E81" s="387"/>
      <c r="F81" s="387"/>
      <c r="G81" s="387"/>
      <c r="H81" s="387"/>
      <c r="I81" s="387"/>
      <c r="J81" s="387"/>
      <c r="K81" s="387"/>
      <c r="L81" s="387"/>
      <c r="M81" s="387"/>
    </row>
    <row r="82" spans="1:13" hidden="1" x14ac:dyDescent="0.2">
      <c r="A82" s="387"/>
      <c r="B82" s="387"/>
      <c r="C82" s="387"/>
      <c r="D82" s="387"/>
      <c r="E82" s="387"/>
      <c r="F82" s="387"/>
      <c r="G82" s="387"/>
      <c r="H82" s="387"/>
      <c r="I82" s="387"/>
      <c r="J82" s="387"/>
      <c r="K82" s="387"/>
      <c r="L82" s="387"/>
      <c r="M82" s="387"/>
    </row>
    <row r="83" spans="1:13" hidden="1" x14ac:dyDescent="0.2">
      <c r="A83" s="387"/>
      <c r="B83" s="387"/>
      <c r="C83" s="387"/>
      <c r="D83" s="387"/>
      <c r="E83" s="387"/>
      <c r="F83" s="387"/>
      <c r="G83" s="387"/>
      <c r="H83" s="387"/>
      <c r="I83" s="387"/>
      <c r="J83" s="387"/>
      <c r="K83" s="387"/>
      <c r="L83" s="387"/>
      <c r="M83" s="387"/>
    </row>
    <row r="84" spans="1:13" hidden="1" x14ac:dyDescent="0.2">
      <c r="A84" s="387"/>
      <c r="B84" s="387"/>
      <c r="C84" s="387"/>
      <c r="D84" s="387"/>
      <c r="E84" s="387"/>
      <c r="F84" s="387"/>
      <c r="G84" s="387"/>
      <c r="H84" s="387"/>
      <c r="I84" s="387"/>
      <c r="J84" s="387"/>
      <c r="K84" s="387"/>
      <c r="L84" s="387"/>
      <c r="M84" s="387"/>
    </row>
  </sheetData>
  <sheetProtection algorithmName="SHA-512" hashValue="y8+SjFozFpyO783hXoY/UrPlOZ7szq6iBOWvSh6oO9Up6y3wOX+nJF/upPn8St6fdPtc+jTe/dTunlvlrmNxDA==" saltValue="nd3IUqEmZRRTcKkOH+RBPA==" spinCount="100000" sheet="1" objects="1" scenarios="1" formatColumns="0" formatRows="0" autoFilter="0"/>
  <mergeCells count="18">
    <mergeCell ref="A59:F59"/>
    <mergeCell ref="A61:F61"/>
    <mergeCell ref="A64:F64"/>
    <mergeCell ref="A52:F52"/>
    <mergeCell ref="A68:F68"/>
    <mergeCell ref="A41:F41"/>
    <mergeCell ref="A1:F1"/>
    <mergeCell ref="A2:E2"/>
    <mergeCell ref="E36:F36"/>
    <mergeCell ref="E37:F37"/>
    <mergeCell ref="E38:F38"/>
    <mergeCell ref="E35:F35"/>
    <mergeCell ref="E34:F34"/>
    <mergeCell ref="E33:F33"/>
    <mergeCell ref="E32:F32"/>
    <mergeCell ref="E31:F31"/>
    <mergeCell ref="E30:F30"/>
    <mergeCell ref="E29:F29"/>
  </mergeCells>
  <conditionalFormatting sqref="A24:D24 A38:F38 A51:E51 A63:F64">
    <cfRule type="expression" dxfId="61" priority="2">
      <formula>$I24</formula>
    </cfRule>
  </conditionalFormatting>
  <conditionalFormatting sqref="A1:G66">
    <cfRule type="expression" dxfId="60" priority="1">
      <formula>$I$1</formula>
    </cfRule>
  </conditionalFormatting>
  <conditionalFormatting sqref="B43:D51">
    <cfRule type="expression" dxfId="59" priority="3">
      <formula>J43</formula>
    </cfRule>
  </conditionalFormatting>
  <dataValidations count="28">
    <dataValidation type="list" allowBlank="1" showErrorMessage="1" promptTitle="UTM Zone" prompt="Enter the UTM Coordinates zone for the EPN &quot;Engine1&quot;. In Texas, this must be 13, 14, or 15." sqref="B8" xr:uid="{5CB2187A-F7B6-4D9F-8B78-B9A91F4D2C0A}">
      <formula1>"13,14,15"</formula1>
    </dataValidation>
    <dataValidation type="decimal" operator="lessThanOrEqual" allowBlank="1" showErrorMessage="1" promptTitle="Emission Factor" prompt="Enter the emission factor for volatile organic compounds (VOC), in grams per horsepower-hour. The pounds per hour (lb/hr) and tons per year (tpy) will automatically calculate in cells to the right." sqref="B35" xr:uid="{859051FD-561D-47D7-B70C-29E907E8D054}">
      <formula1>100</formula1>
    </dataValidation>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9" xr:uid="{58030314-E174-45AF-99BA-0C49E1C4CC64}">
      <formula1>205000</formula1>
      <formula2>795000</formula2>
    </dataValidation>
    <dataValidation type="decimal" allowBlank="1" showErrorMessage="1" errorTitle="North (Meters)" error="Enter a value between 2854000 and 4059000 meters." promptTitle="UTM North" prompt="Enter the distance north of the zone datum for this EPN, in meters. This is a six-digit number between 2854000 and 4059000." sqref="B10" xr:uid="{86C59E28-FFAC-46A9-85A1-7A1FB0FD9C82}">
      <formula1>2854000</formula1>
      <formula2>4059000</formula2>
    </dataValidation>
    <dataValidation operator="greaterThanOrEqual" allowBlank="1" showErrorMessage="1" errorTitle="Maximum Value Exceeded" error="Please enter a value for this parameter below the maximum value." promptTitle="Input Parameters" prompt="Enter the rated brake horsepower (BHP) in horsepower (hp). Note that this value must be less than __." sqref="B18" xr:uid="{BEC4EA68-131E-4134-B6EB-0072591ABEF9}"/>
    <dataValidation type="decimal" operator="greaterThanOrEqual" allowBlank="1" showErrorMessage="1" errorTitle="Parameter Below Minimum Value" error="Please enter a value for this parameter that is larger than the minimum value." promptTitle="Input Parameters" prompt="Enter the release height of this EPN. This must be at least 25 feet." sqref="B14" xr:uid="{6776B915-91FF-47C1-B866-C3D1650D7BBE}">
      <formula1>C14</formula1>
    </dataValidation>
    <dataValidation type="decimal" operator="greaterThanOrEqual" allowBlank="1" showErrorMessage="1" errorTitle="Parameter Below Minimum Value" error="Please enter a value for this parameter that is larger than the minimum value." promptTitle="Imput Parameters" prompt="Enter the stack diameter. With this permit, the stack must be at least 0.66 feet wide." sqref="B15" xr:uid="{043AED99-ACE1-4AEA-9384-D56DA03E97A5}">
      <formula1>C15</formula1>
    </dataValidation>
    <dataValidation type="decimal" operator="greaterThanOrEqual" allowBlank="1" showErrorMessage="1" errorTitle="Parameter Below Minimum Value" error="Please enter a value for this parameter that is larger than the minimum value." promptTitle="Input Parameters" prompt="Enter the Temperature in degrees Fahrenheit for this EPN. Note that this must be at least 828 degrees." sqref="B16" xr:uid="{7F97EFC1-1781-4050-96E7-0D2E85A067DE}">
      <formula1>C16</formula1>
    </dataValidation>
    <dataValidation type="decimal" operator="greaterThanOrEqual" allowBlank="1" showErrorMessage="1" errorTitle="Parameter Below Minimum Value" error="Please enter a value for this parameter that is larger than the minimum value." promptTitle="Input Parameters" prompt="Enter the velocity of the emisions, in feet per second. Note that this value must be greater than 168.7 feet per second." sqref="B17" xr:uid="{D247A315-8547-4044-AC43-C0BB87369916}">
      <formula1>C17</formula1>
    </dataValidation>
    <dataValidation type="decimal" operator="lessThanOrEqual" allowBlank="1" showErrorMessage="1" errorTitle="Maximum Value Exceeded" error="Please enter a value for this parameter below the maximum value." promptTitle="Input Parameters" prompt="Enter the annual operating schedule in total hours per year. Note that this value must be below 300 hours per year." sqref="B25" xr:uid="{1C840A53-79C6-4F19-AA57-7C188A3C2074}">
      <formula1>D25</formula1>
    </dataValidation>
    <dataValidation allowBlank="1" showErrorMessage="1" promptTitle="EPN" prompt="Input the Emission Point Number for the engine.  Limited to 10 ahlpanumeric characters." sqref="A1:E1" xr:uid="{F38F0810-1A6F-4916-AAB3-4D30EED27D97}"/>
    <dataValidation allowBlank="1" showErrorMessage="1" promptTitle="Source Name" prompt="Enter the Source Name for the engine." sqref="B7" xr:uid="{8A3C4F40-0597-4313-B833-0F0798465719}"/>
    <dataValidation allowBlank="1" showErrorMessage="1" prompt="select source of emission factor" sqref="D36:D38" xr:uid="{AA145190-9C34-43BC-A830-2221C032FDF9}"/>
    <dataValidation type="decimal" operator="lessThanOrEqual" allowBlank="1" showErrorMessage="1" promptTitle="Emission Factor" prompt="Enter the emission factor for NOx, in grams per horsepower-hour. The pounds per hour (lb/hr) and tons per year (tpy) will automatically calculate in cells to the right." sqref="B30" xr:uid="{9670C0A1-4B47-49BE-A674-931032F0F9FB}">
      <formula1>C43*453.6/$B$18</formula1>
    </dataValidation>
    <dataValidation type="decimal" operator="lessThanOrEqual" allowBlank="1" showErrorMessage="1" promptTitle="Emission Factor" prompt="Enter the emission factor for carbon monoxide, in grams per horsepower-hour. The pounds per hour (lb/hr) and tons per year (tpy) will automatically calculate in cells to the right." sqref="B31" xr:uid="{3EE99657-54F2-496A-981A-161DEFADB697}">
      <formula1>C44*453.6/$B$18</formula1>
    </dataValidation>
    <dataValidation type="list" allowBlank="1" showInputMessage="1" showErrorMessage="1" sqref="D30:D35" xr:uid="{F6070267-55D5-4E89-B6D6-CC3BA4614F7B}">
      <formula1>EngDDSource</formula1>
    </dataValidation>
    <dataValidation type="decimal" operator="lessThanOrEqual" allowBlank="1" showErrorMessage="1" promptTitle="Input Parameters" prompt="Enter the ammonia concentration in ppm." sqref="B24" xr:uid="{D9B6F710-7B48-475B-9263-494DFD25C975}">
      <formula1>10</formula1>
    </dataValidation>
    <dataValidation type="decimal" operator="lessThanOrEqual" allowBlank="1" showErrorMessage="1" promptTitle="Input Parameters" prompt="Enter the sulfur content of the diesel." sqref="B20" xr:uid="{47DC6954-1875-4BB7-BFBA-F3C4B07037E6}">
      <formula1>15</formula1>
    </dataValidation>
    <dataValidation type="list" allowBlank="1" showErrorMessage="1" promptTitle="Input Parameters" prompt="Is there a diesel filter? Select or enter yes or no." sqref="B23" xr:uid="{11A75369-7B7C-4920-91E4-30CA6E3402FA}">
      <formula1>"Yes,No"</formula1>
    </dataValidation>
    <dataValidation type="list" allowBlank="1" showErrorMessage="1" promptTitle="Input Parameters" prompt="Is there an oxidation catalyst? Select or enter yes or no." sqref="B22" xr:uid="{017ACAA0-A3D5-4CEA-8C27-2801F115CCBB}">
      <formula1>"Yes,No"</formula1>
    </dataValidation>
    <dataValidation type="decimal" operator="greaterThanOrEqual" allowBlank="1" showErrorMessage="1" errorTitle="Maximum Value Exceeded" error="Please enter a value for this parameter below the maximum value." prompt="Exhaust gas flow rate is deteremined by input parameters." sqref="B26" xr:uid="{9C09C23A-DA5E-494D-8BAB-464EA943F4D9}">
      <formula1>0</formula1>
    </dataValidation>
    <dataValidation type="list" allowBlank="1" showErrorMessage="1" promptTitle="Input Parameters" prompt="Is there a selective catalytic reduction (SCR) system for this engine? Select or enter yes or no." sqref="B21" xr:uid="{E56ED47A-5A71-44FC-B76B-7ECC7740152C}">
      <formula1>"Yes,No"</formula1>
    </dataValidation>
    <dataValidation operator="lessThanOrEqual" allowBlank="1" showErrorMessage="1" promptTitle="Emission Factor" prompt="Enter the emission factor for particulate matter with diameters 2.5 microns or less (PM2.5), in grams per horsepower-hour. The pounds per hour (lb/hr) and tons per year (tpy) will automatically calculate in cells to the right." sqref="B34" xr:uid="{17DA14EB-2B7F-4EFF-BEB6-88FB52C32C5F}"/>
    <dataValidation operator="lessThanOrEqual" allowBlank="1" showErrorMessage="1" promptTitle="Emission Factor" prompt="Enter the emission factor for particulate matter with diameters 10 microns or less (PM10), in grams per horsepower-hour. The pounds per hour (lb/hr) and tons per year (tpy) will automatically calculate in cells to the right." sqref="B33" xr:uid="{86FD566A-8ACD-4CD2-9F3B-878D8F3B8E7B}"/>
    <dataValidation operator="lessThanOrEqual" allowBlank="1" showErrorMessage="1" promptTitle="Emission Factor" prompt="Enter the emission factor for particulate matter (PM), in grams per horsepower-hour. The pounds per hour (lb/hr) and tons per year (tpy) will automatically calculate in cells to the right." sqref="B32" xr:uid="{8A2B1F97-B05E-4768-9010-B5908B07084B}"/>
    <dataValidation allowBlank="1" showErrorMessage="1" prompt="This cell intentionally left blank for internal comments. All internal comments must be submitted prior to application submittal." sqref="G3:G66 F41" xr:uid="{39847E7D-65AF-4501-9702-9BCC65BB1DDB}"/>
    <dataValidation type="textLength" allowBlank="1" showErrorMessage="1" promptTitle="FIN" prompt="Input the Facility Identification Number for the engine.  Limited to 10 alphanumeric characters." sqref="B6" xr:uid="{B1BD691E-6B52-4466-B525-A6C8311F0C11}">
      <formula1>0</formula1>
      <formula2>10</formula2>
    </dataValidation>
    <dataValidation type="decimal" operator="greaterThanOrEqual" allowBlank="1" showErrorMessage="1" errorTitle="Maximum Value Exceeded" error="Please enter a value for this parameter below the maximum value." promptTitle="Input Parameters" prompt="Enter the fuel consumption rate, in pounds of diesel per horsepower-hour._x000a_" sqref="B19" xr:uid="{BAFC3283-5769-4A1E-A8CB-84B012B72133}">
      <formula1>0</formula1>
    </dataValidation>
  </dataValidations>
  <printOptions horizontalCentered="1"/>
  <pageMargins left="0.25" right="0.25" top="0.57395833333333302" bottom="0.61354166666666698" header="0.3" footer="0.3"/>
  <pageSetup scale="73" orientation="portrait" r:id="rId1"/>
  <headerFooter>
    <oddHeader>&amp;C&amp;"Arial,Regular"Engine Power Generation RAP Application</oddHeader>
    <oddFooter>&amp;L&amp;"Arial,Regular"Version: 1.0&amp;C&amp;"Arial,Regular"Sheet: &amp;A&amp;R&amp;"Arial,Regular"Page &amp;P</oddFooter>
  </headerFooter>
  <rowBreaks count="1" manualBreakCount="1">
    <brk id="52" max="16383" man="1"/>
  </rowBreaks>
  <tableParts count="4">
    <tablePart r:id="rId2"/>
    <tablePart r:id="rId3"/>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531B-737D-42D8-B2AD-256577A6310D}">
  <sheetPr codeName="Sheet13">
    <tabColor rgb="FFFFFFCC"/>
  </sheetPr>
  <dimension ref="A1:N84"/>
  <sheetViews>
    <sheetView showGridLines="0" zoomScaleNormal="100" workbookViewId="0">
      <selection sqref="A1:F1"/>
    </sheetView>
  </sheetViews>
  <sheetFormatPr defaultColWidth="0" defaultRowHeight="14.25" zeroHeight="1" x14ac:dyDescent="0.2"/>
  <cols>
    <col min="1" max="1" width="34.125" style="2" customWidth="1"/>
    <col min="2" max="3" width="14.375" style="2" customWidth="1"/>
    <col min="4" max="4" width="16.375" style="2" customWidth="1"/>
    <col min="5" max="5" width="18.5" style="2" customWidth="1"/>
    <col min="6" max="6" width="27.125" style="2" customWidth="1"/>
    <col min="7" max="7" width="40.625" style="2" customWidth="1"/>
    <col min="8" max="8" width="2.625" style="2" customWidth="1"/>
    <col min="9" max="16384" width="9" style="2" hidden="1"/>
  </cols>
  <sheetData>
    <row r="1" spans="1:13" ht="18.75" thickBot="1" x14ac:dyDescent="0.25">
      <c r="A1" s="861" t="s">
        <v>281</v>
      </c>
      <c r="B1" s="862"/>
      <c r="C1" s="862"/>
      <c r="D1" s="862"/>
      <c r="E1" s="862"/>
      <c r="F1" s="863"/>
      <c r="G1" s="133" t="s">
        <v>60</v>
      </c>
      <c r="H1" s="387"/>
      <c r="I1" s="387" t="b">
        <f>'PI-1-PowerEngine'!$B$78&lt;8</f>
        <v>1</v>
      </c>
      <c r="J1" s="387"/>
      <c r="K1" s="387"/>
      <c r="L1" s="387"/>
      <c r="M1" s="387"/>
    </row>
    <row r="2" spans="1:13" ht="61.5" customHeight="1" thickBot="1" x14ac:dyDescent="0.25">
      <c r="A2" s="880" t="s">
        <v>215</v>
      </c>
      <c r="B2" s="853"/>
      <c r="C2" s="853"/>
      <c r="D2" s="853"/>
      <c r="E2" s="853"/>
      <c r="F2" s="284"/>
      <c r="G2" s="64" t="s">
        <v>63</v>
      </c>
      <c r="H2" s="387"/>
      <c r="I2" s="387"/>
      <c r="J2" s="387"/>
      <c r="K2" s="387"/>
      <c r="L2" s="387"/>
      <c r="M2" s="387"/>
    </row>
    <row r="3" spans="1:13" ht="15" customHeight="1" thickBot="1" x14ac:dyDescent="0.25">
      <c r="A3" s="314" t="s">
        <v>4</v>
      </c>
      <c r="B3" s="97"/>
      <c r="C3" s="97"/>
      <c r="D3" s="97"/>
      <c r="E3" s="97"/>
      <c r="F3" s="97"/>
      <c r="G3" s="138"/>
      <c r="H3" s="387"/>
      <c r="I3" s="387"/>
      <c r="J3" s="387"/>
      <c r="K3" s="387"/>
      <c r="L3" s="387"/>
      <c r="M3" s="387"/>
    </row>
    <row r="4" spans="1:13" ht="17.100000000000001" customHeight="1" thickBot="1" x14ac:dyDescent="0.25">
      <c r="A4" s="171" t="s">
        <v>167</v>
      </c>
      <c r="B4" s="172"/>
      <c r="C4" s="172"/>
      <c r="D4" s="172"/>
      <c r="E4" s="172"/>
      <c r="F4" s="286"/>
      <c r="G4" s="139"/>
      <c r="H4" s="387"/>
      <c r="I4" s="387"/>
      <c r="J4" s="387"/>
      <c r="K4" s="387"/>
      <c r="L4" s="387"/>
      <c r="M4" s="387"/>
    </row>
    <row r="5" spans="1:13" ht="17.100000000000001" customHeight="1" x14ac:dyDescent="0.2">
      <c r="A5" s="295" t="s">
        <v>72</v>
      </c>
      <c r="B5" s="227" t="s">
        <v>73</v>
      </c>
      <c r="C5" s="228"/>
      <c r="D5" s="196"/>
      <c r="E5" s="196"/>
      <c r="F5" s="296"/>
      <c r="G5" s="139"/>
      <c r="H5" s="387"/>
      <c r="I5" s="387"/>
      <c r="J5" s="387"/>
      <c r="K5" s="387"/>
      <c r="L5" s="387"/>
      <c r="M5" s="387"/>
    </row>
    <row r="6" spans="1:13" ht="15" customHeight="1" x14ac:dyDescent="0.2">
      <c r="A6" s="388" t="s">
        <v>216</v>
      </c>
      <c r="B6" s="224"/>
      <c r="C6" s="229"/>
      <c r="D6" s="389"/>
      <c r="E6" s="389"/>
      <c r="F6" s="390"/>
      <c r="G6" s="139"/>
      <c r="H6" s="387"/>
      <c r="I6" s="387"/>
      <c r="J6" s="387"/>
      <c r="K6" s="387"/>
      <c r="L6" s="387"/>
      <c r="M6" s="387"/>
    </row>
    <row r="7" spans="1:13" ht="15" customHeight="1" x14ac:dyDescent="0.2">
      <c r="A7" s="257" t="s">
        <v>217</v>
      </c>
      <c r="B7" s="391"/>
      <c r="C7" s="389"/>
      <c r="D7" s="389"/>
      <c r="E7" s="389"/>
      <c r="F7" s="390"/>
      <c r="G7" s="139"/>
      <c r="H7" s="387"/>
      <c r="I7" s="387"/>
      <c r="J7" s="387"/>
      <c r="K7" s="387"/>
      <c r="L7" s="387"/>
      <c r="M7" s="387"/>
    </row>
    <row r="8" spans="1:13" ht="15" customHeight="1" x14ac:dyDescent="0.2">
      <c r="A8" s="369" t="s">
        <v>218</v>
      </c>
      <c r="B8" s="391"/>
      <c r="C8" s="389"/>
      <c r="D8" s="389"/>
      <c r="E8" s="389"/>
      <c r="F8" s="390"/>
      <c r="G8" s="139"/>
      <c r="H8" s="387"/>
      <c r="I8" s="387"/>
      <c r="J8" s="387"/>
      <c r="K8" s="387"/>
      <c r="L8" s="387"/>
      <c r="M8" s="387"/>
    </row>
    <row r="9" spans="1:13" ht="15" customHeight="1" x14ac:dyDescent="0.2">
      <c r="A9" s="369" t="s">
        <v>219</v>
      </c>
      <c r="B9" s="174"/>
      <c r="C9" s="389"/>
      <c r="D9" s="389"/>
      <c r="E9" s="389"/>
      <c r="F9" s="390"/>
      <c r="G9" s="139"/>
      <c r="H9" s="387"/>
      <c r="I9" s="387"/>
      <c r="J9" s="387"/>
      <c r="K9" s="387"/>
      <c r="L9" s="387"/>
      <c r="M9" s="387"/>
    </row>
    <row r="10" spans="1:13" ht="15" thickBot="1" x14ac:dyDescent="0.25">
      <c r="A10" s="258" t="s">
        <v>220</v>
      </c>
      <c r="B10" s="300"/>
      <c r="C10" s="416"/>
      <c r="D10" s="416"/>
      <c r="E10" s="416"/>
      <c r="F10" s="417"/>
      <c r="G10" s="139"/>
      <c r="H10" s="387"/>
      <c r="I10" s="387"/>
      <c r="J10" s="387"/>
      <c r="K10" s="387"/>
      <c r="L10" s="387"/>
      <c r="M10" s="387"/>
    </row>
    <row r="11" spans="1:13" ht="15" customHeight="1" thickBot="1" x14ac:dyDescent="0.25">
      <c r="A11" s="85"/>
      <c r="B11" s="85"/>
      <c r="C11" s="318" t="s">
        <v>4</v>
      </c>
      <c r="D11" s="85"/>
      <c r="E11" s="85"/>
      <c r="F11" s="85"/>
      <c r="G11" s="139"/>
      <c r="H11" s="387"/>
      <c r="I11" s="387"/>
      <c r="J11" s="387"/>
      <c r="K11" s="387"/>
      <c r="L11" s="387"/>
      <c r="M11" s="387"/>
    </row>
    <row r="12" spans="1:13" ht="17.100000000000001" customHeight="1" thickBot="1" x14ac:dyDescent="0.25">
      <c r="A12" s="171" t="s">
        <v>221</v>
      </c>
      <c r="B12" s="172"/>
      <c r="C12" s="172"/>
      <c r="D12" s="172"/>
      <c r="E12" s="172"/>
      <c r="F12" s="286"/>
      <c r="G12" s="139"/>
      <c r="H12" s="387"/>
      <c r="I12" s="387"/>
      <c r="J12" s="387"/>
      <c r="K12" s="387"/>
      <c r="L12" s="387"/>
      <c r="M12" s="387"/>
    </row>
    <row r="13" spans="1:13" ht="15" customHeight="1" x14ac:dyDescent="0.2">
      <c r="A13" s="301" t="s">
        <v>222</v>
      </c>
      <c r="B13" s="221" t="s">
        <v>223</v>
      </c>
      <c r="C13" s="221" t="s">
        <v>224</v>
      </c>
      <c r="D13" s="222" t="s">
        <v>225</v>
      </c>
      <c r="E13" s="209"/>
      <c r="F13" s="345"/>
      <c r="G13" s="139"/>
      <c r="H13" s="387"/>
      <c r="I13" s="387"/>
      <c r="J13" s="387"/>
      <c r="K13" s="387"/>
      <c r="L13" s="387"/>
      <c r="M13" s="387"/>
    </row>
    <row r="14" spans="1:13" ht="15" customHeight="1" x14ac:dyDescent="0.2">
      <c r="A14" s="369" t="s">
        <v>226</v>
      </c>
      <c r="B14" s="391"/>
      <c r="C14" s="392">
        <v>25</v>
      </c>
      <c r="D14" s="393" t="s">
        <v>855</v>
      </c>
      <c r="E14" s="394"/>
      <c r="F14" s="395"/>
      <c r="G14" s="139"/>
      <c r="H14" s="387"/>
      <c r="I14" s="387"/>
      <c r="J14" s="387"/>
      <c r="K14" s="387"/>
      <c r="L14" s="387"/>
      <c r="M14" s="387"/>
    </row>
    <row r="15" spans="1:13" ht="15" customHeight="1" x14ac:dyDescent="0.2">
      <c r="A15" s="369" t="s">
        <v>227</v>
      </c>
      <c r="B15" s="391"/>
      <c r="C15" s="392">
        <v>0.66</v>
      </c>
      <c r="D15" s="393" t="s">
        <v>855</v>
      </c>
      <c r="E15" s="394"/>
      <c r="F15" s="395"/>
      <c r="G15" s="139"/>
      <c r="H15" s="387"/>
      <c r="I15" s="387"/>
      <c r="J15" s="387"/>
      <c r="K15" s="387"/>
      <c r="L15" s="387"/>
      <c r="M15" s="387"/>
    </row>
    <row r="16" spans="1:13" ht="15" customHeight="1" x14ac:dyDescent="0.2">
      <c r="A16" s="369" t="s">
        <v>228</v>
      </c>
      <c r="B16" s="396"/>
      <c r="C16" s="392">
        <v>828</v>
      </c>
      <c r="D16" s="393" t="s">
        <v>855</v>
      </c>
      <c r="E16" s="394"/>
      <c r="F16" s="395"/>
      <c r="G16" s="139"/>
      <c r="H16" s="387"/>
      <c r="I16" s="387"/>
      <c r="J16" s="387"/>
      <c r="K16" s="387"/>
      <c r="L16" s="387"/>
      <c r="M16" s="387"/>
    </row>
    <row r="17" spans="1:14" ht="15" customHeight="1" x14ac:dyDescent="0.2">
      <c r="A17" s="369" t="s">
        <v>229</v>
      </c>
      <c r="B17" s="391"/>
      <c r="C17" s="392">
        <v>168.7</v>
      </c>
      <c r="D17" s="393" t="s">
        <v>855</v>
      </c>
      <c r="E17" s="394"/>
      <c r="F17" s="395"/>
      <c r="G17" s="139"/>
      <c r="H17" s="387"/>
      <c r="I17" s="387"/>
      <c r="J17" s="387"/>
      <c r="K17" s="387"/>
      <c r="L17" s="387"/>
      <c r="M17" s="387"/>
      <c r="N17" s="397"/>
    </row>
    <row r="18" spans="1:14" ht="15" customHeight="1" x14ac:dyDescent="0.2">
      <c r="A18" s="282" t="s">
        <v>230</v>
      </c>
      <c r="B18" s="396"/>
      <c r="C18" s="392" t="s">
        <v>855</v>
      </c>
      <c r="D18" s="393" t="s">
        <v>855</v>
      </c>
      <c r="E18" s="394"/>
      <c r="F18" s="395"/>
      <c r="G18" s="139"/>
      <c r="H18" s="387"/>
      <c r="I18" s="387"/>
      <c r="J18" s="387"/>
      <c r="K18" s="387"/>
      <c r="L18" s="387"/>
      <c r="M18" s="387"/>
      <c r="N18" s="387"/>
    </row>
    <row r="19" spans="1:14" ht="15" customHeight="1" x14ac:dyDescent="0.2">
      <c r="A19" s="369" t="s">
        <v>231</v>
      </c>
      <c r="B19" s="391"/>
      <c r="C19" s="392" t="s">
        <v>855</v>
      </c>
      <c r="D19" s="393" t="s">
        <v>855</v>
      </c>
      <c r="E19" s="394"/>
      <c r="F19" s="395"/>
      <c r="G19" s="139"/>
      <c r="H19" s="387"/>
      <c r="I19" s="387"/>
      <c r="J19" s="387"/>
      <c r="K19" s="387"/>
      <c r="L19" s="387"/>
      <c r="M19" s="387"/>
      <c r="N19" s="387"/>
    </row>
    <row r="20" spans="1:14" ht="15" customHeight="1" x14ac:dyDescent="0.2">
      <c r="A20" s="369" t="s">
        <v>232</v>
      </c>
      <c r="B20" s="159"/>
      <c r="C20" s="392" t="s">
        <v>855</v>
      </c>
      <c r="D20" s="393">
        <v>15</v>
      </c>
      <c r="E20" s="394"/>
      <c r="F20" s="395"/>
      <c r="G20" s="139"/>
      <c r="H20" s="387"/>
      <c r="I20" s="387"/>
      <c r="J20" s="387"/>
      <c r="K20" s="387"/>
      <c r="L20" s="387"/>
      <c r="M20" s="387"/>
      <c r="N20" s="387"/>
    </row>
    <row r="21" spans="1:14" ht="32.25" customHeight="1" x14ac:dyDescent="0.2">
      <c r="A21" s="398" t="s">
        <v>233</v>
      </c>
      <c r="B21" s="159"/>
      <c r="C21" s="392" t="s">
        <v>855</v>
      </c>
      <c r="D21" s="393" t="s">
        <v>855</v>
      </c>
      <c r="E21" s="394"/>
      <c r="F21" s="395"/>
      <c r="G21" s="139"/>
      <c r="H21" s="387"/>
      <c r="I21" s="387"/>
      <c r="J21" s="387"/>
      <c r="K21" s="387"/>
      <c r="L21" s="387"/>
      <c r="M21" s="387"/>
      <c r="N21" s="387"/>
    </row>
    <row r="22" spans="1:14" ht="15" customHeight="1" x14ac:dyDescent="0.2">
      <c r="A22" s="398" t="s">
        <v>234</v>
      </c>
      <c r="B22" s="159"/>
      <c r="C22" s="392" t="s">
        <v>855</v>
      </c>
      <c r="D22" s="393" t="s">
        <v>855</v>
      </c>
      <c r="E22" s="394"/>
      <c r="F22" s="395"/>
      <c r="G22" s="139"/>
      <c r="H22" s="387"/>
      <c r="I22" s="387"/>
      <c r="J22" s="387"/>
      <c r="K22" s="387"/>
      <c r="L22" s="387"/>
      <c r="M22" s="387"/>
      <c r="N22" s="387"/>
    </row>
    <row r="23" spans="1:14" ht="15" customHeight="1" x14ac:dyDescent="0.2">
      <c r="A23" s="398" t="s">
        <v>235</v>
      </c>
      <c r="B23" s="159"/>
      <c r="C23" s="392" t="s">
        <v>855</v>
      </c>
      <c r="D23" s="393" t="s">
        <v>855</v>
      </c>
      <c r="E23" s="394"/>
      <c r="F23" s="395"/>
      <c r="G23" s="139"/>
      <c r="H23" s="387"/>
      <c r="I23" s="387"/>
      <c r="J23" s="387"/>
      <c r="K23" s="387"/>
      <c r="L23" s="387"/>
      <c r="M23" s="387"/>
      <c r="N23" s="387"/>
    </row>
    <row r="24" spans="1:14" ht="15" customHeight="1" x14ac:dyDescent="0.2">
      <c r="A24" s="369" t="s">
        <v>236</v>
      </c>
      <c r="B24" s="159"/>
      <c r="C24" s="392" t="s">
        <v>855</v>
      </c>
      <c r="D24" s="393">
        <v>10</v>
      </c>
      <c r="E24" s="394"/>
      <c r="F24" s="395"/>
      <c r="G24" s="139"/>
      <c r="H24" s="387"/>
      <c r="I24" s="387" t="b">
        <f>$B$21="NO"</f>
        <v>0</v>
      </c>
      <c r="J24" s="387"/>
      <c r="K24" s="387"/>
      <c r="L24" s="387"/>
      <c r="M24" s="387"/>
      <c r="N24" s="387"/>
    </row>
    <row r="25" spans="1:14" ht="15" customHeight="1" x14ac:dyDescent="0.2">
      <c r="A25" s="369" t="s">
        <v>237</v>
      </c>
      <c r="B25" s="159"/>
      <c r="C25" s="392" t="s">
        <v>855</v>
      </c>
      <c r="D25" s="393">
        <v>300</v>
      </c>
      <c r="E25" s="394"/>
      <c r="F25" s="395"/>
      <c r="G25" s="139"/>
      <c r="H25" s="387"/>
      <c r="I25" s="387"/>
      <c r="J25" s="387"/>
      <c r="K25" s="387"/>
      <c r="L25" s="387"/>
      <c r="M25" s="387"/>
      <c r="N25" s="387"/>
    </row>
    <row r="26" spans="1:14" ht="15" customHeight="1" thickBot="1" x14ac:dyDescent="0.25">
      <c r="A26" s="283" t="s">
        <v>275</v>
      </c>
      <c r="B26" s="285">
        <f>B17*60*PI()/4*B15^2*(459.67+60)/(459.67+B16)</f>
        <v>0</v>
      </c>
      <c r="C26" s="399" t="s">
        <v>855</v>
      </c>
      <c r="D26" s="400" t="s">
        <v>855</v>
      </c>
      <c r="E26" s="401"/>
      <c r="F26" s="402"/>
      <c r="G26" s="139"/>
      <c r="H26" s="387"/>
      <c r="I26" s="387"/>
      <c r="J26" s="387"/>
      <c r="K26" s="387"/>
      <c r="L26" s="387"/>
      <c r="M26" s="387"/>
      <c r="N26" s="387"/>
    </row>
    <row r="27" spans="1:14" ht="15" customHeight="1" thickBot="1" x14ac:dyDescent="0.25">
      <c r="A27" s="403"/>
      <c r="B27" s="389"/>
      <c r="C27" s="389"/>
      <c r="D27" s="389"/>
      <c r="E27" s="387"/>
      <c r="F27" s="387"/>
      <c r="G27" s="139"/>
      <c r="H27" s="387"/>
      <c r="I27" s="387"/>
      <c r="J27" s="387"/>
      <c r="K27" s="387"/>
      <c r="L27" s="387"/>
      <c r="M27" s="387"/>
      <c r="N27" s="387"/>
    </row>
    <row r="28" spans="1:14" ht="15" customHeight="1" thickBot="1" x14ac:dyDescent="0.25">
      <c r="A28" s="160" t="s">
        <v>239</v>
      </c>
      <c r="B28" s="161"/>
      <c r="C28" s="161"/>
      <c r="D28" s="161"/>
      <c r="E28" s="161"/>
      <c r="F28" s="286"/>
      <c r="G28" s="139"/>
      <c r="H28" s="387"/>
      <c r="I28" s="387"/>
      <c r="J28" s="387"/>
      <c r="K28" s="387"/>
      <c r="L28" s="387"/>
      <c r="M28" s="387"/>
      <c r="N28" s="387"/>
    </row>
    <row r="29" spans="1:14" ht="15" x14ac:dyDescent="0.2">
      <c r="A29" s="225" t="s">
        <v>240</v>
      </c>
      <c r="B29" s="63" t="s">
        <v>241</v>
      </c>
      <c r="C29" s="221" t="s">
        <v>242</v>
      </c>
      <c r="D29" s="357" t="s">
        <v>243</v>
      </c>
      <c r="E29" s="882" t="s">
        <v>244</v>
      </c>
      <c r="F29" s="867"/>
      <c r="G29" s="139"/>
      <c r="H29" s="387"/>
      <c r="I29" s="387"/>
      <c r="J29" s="387"/>
      <c r="K29" s="387"/>
      <c r="L29" s="387"/>
      <c r="M29" s="387"/>
      <c r="N29" s="387"/>
    </row>
    <row r="30" spans="1:14" x14ac:dyDescent="0.2">
      <c r="A30" s="334" t="s">
        <v>245</v>
      </c>
      <c r="B30" s="404"/>
      <c r="C30" s="392" t="s">
        <v>246</v>
      </c>
      <c r="D30" s="355"/>
      <c r="E30" s="881" t="str">
        <f>IFERROR(INDEX(Reference!$AQ$14:$AQ$17,MATCH(D30,EngDDSource,0)),"")</f>
        <v/>
      </c>
      <c r="F30" s="865"/>
      <c r="G30" s="139"/>
      <c r="H30" s="387"/>
      <c r="I30" s="387"/>
      <c r="J30" s="387"/>
      <c r="K30" s="387"/>
      <c r="L30" s="387"/>
      <c r="M30" s="387"/>
      <c r="N30" s="387"/>
    </row>
    <row r="31" spans="1:14" x14ac:dyDescent="0.2">
      <c r="A31" s="334" t="s">
        <v>247</v>
      </c>
      <c r="B31" s="404"/>
      <c r="C31" s="392" t="s">
        <v>246</v>
      </c>
      <c r="D31" s="355"/>
      <c r="E31" s="881" t="str">
        <f>IFERROR(INDEX(Reference!$AQ$14:$AQ$17,MATCH(D31,EngDDSource,0)),"")</f>
        <v/>
      </c>
      <c r="F31" s="865"/>
      <c r="G31" s="139"/>
      <c r="H31" s="387"/>
      <c r="I31" s="387"/>
      <c r="J31" s="387"/>
      <c r="K31" s="387"/>
      <c r="L31" s="387"/>
      <c r="M31" s="387"/>
      <c r="N31" s="387"/>
    </row>
    <row r="32" spans="1:14" x14ac:dyDescent="0.2">
      <c r="A32" s="334" t="s">
        <v>248</v>
      </c>
      <c r="B32" s="153"/>
      <c r="C32" s="392" t="s">
        <v>246</v>
      </c>
      <c r="D32" s="355"/>
      <c r="E32" s="881" t="str">
        <f>IFERROR(INDEX(Reference!$AQ$14:$AQ$17,MATCH(D32,EngDDSource,0)),"")</f>
        <v/>
      </c>
      <c r="F32" s="865"/>
      <c r="G32" s="139"/>
      <c r="H32" s="387"/>
      <c r="I32" s="387"/>
      <c r="J32" s="387"/>
      <c r="K32" s="387"/>
      <c r="L32" s="387"/>
      <c r="M32" s="387"/>
      <c r="N32" s="387"/>
    </row>
    <row r="33" spans="1:13" x14ac:dyDescent="0.2">
      <c r="A33" s="334" t="s">
        <v>249</v>
      </c>
      <c r="B33" s="153"/>
      <c r="C33" s="392" t="s">
        <v>246</v>
      </c>
      <c r="D33" s="355"/>
      <c r="E33" s="881" t="str">
        <f>IFERROR(INDEX(Reference!$AQ$14:$AQ$17,MATCH(D33,EngDDSource,0)),"")</f>
        <v/>
      </c>
      <c r="F33" s="865"/>
      <c r="G33" s="139"/>
      <c r="H33" s="387"/>
      <c r="I33" s="387"/>
      <c r="J33" s="387"/>
      <c r="K33" s="387"/>
      <c r="L33" s="387"/>
      <c r="M33" s="387"/>
    </row>
    <row r="34" spans="1:13" x14ac:dyDescent="0.2">
      <c r="A34" s="334" t="s">
        <v>250</v>
      </c>
      <c r="B34" s="153"/>
      <c r="C34" s="392" t="s">
        <v>246</v>
      </c>
      <c r="D34" s="355"/>
      <c r="E34" s="881" t="str">
        <f>IFERROR(INDEX(Reference!$AQ$14:$AQ$17,MATCH(D34,EngDDSource,0)),"")</f>
        <v/>
      </c>
      <c r="F34" s="865"/>
      <c r="G34" s="139"/>
      <c r="H34" s="387"/>
      <c r="I34" s="387"/>
      <c r="J34" s="387"/>
      <c r="K34" s="387"/>
      <c r="L34" s="387"/>
      <c r="M34" s="387"/>
    </row>
    <row r="35" spans="1:13" x14ac:dyDescent="0.2">
      <c r="A35" s="334" t="s">
        <v>251</v>
      </c>
      <c r="B35" s="404"/>
      <c r="C35" s="392" t="s">
        <v>246</v>
      </c>
      <c r="D35" s="355"/>
      <c r="E35" s="881" t="str">
        <f>IFERROR(INDEX(Reference!$AQ$14:$AQ$17,MATCH(D35,EngDDSource,0)),"")</f>
        <v/>
      </c>
      <c r="F35" s="865"/>
      <c r="G35" s="139"/>
      <c r="H35" s="387"/>
      <c r="I35" s="387"/>
      <c r="J35" s="387"/>
      <c r="K35" s="387"/>
      <c r="L35" s="387"/>
      <c r="M35" s="387"/>
    </row>
    <row r="36" spans="1:13" ht="33.75" customHeight="1" x14ac:dyDescent="0.2">
      <c r="A36" s="334" t="s">
        <v>252</v>
      </c>
      <c r="B36" s="155" t="s">
        <v>855</v>
      </c>
      <c r="C36" s="392" t="s">
        <v>855</v>
      </c>
      <c r="D36" s="356" t="s">
        <v>253</v>
      </c>
      <c r="E36" s="881" t="s">
        <v>254</v>
      </c>
      <c r="F36" s="865"/>
      <c r="G36" s="139"/>
      <c r="H36" s="387"/>
      <c r="I36" s="387"/>
      <c r="J36" s="387"/>
      <c r="K36" s="387"/>
      <c r="L36" s="387"/>
      <c r="M36" s="387"/>
    </row>
    <row r="37" spans="1:13" ht="33.75" customHeight="1" x14ac:dyDescent="0.2">
      <c r="A37" s="334" t="s">
        <v>255</v>
      </c>
      <c r="B37" s="155" t="s">
        <v>855</v>
      </c>
      <c r="C37" s="392" t="s">
        <v>855</v>
      </c>
      <c r="D37" s="356" t="s">
        <v>253</v>
      </c>
      <c r="E37" s="881" t="s">
        <v>256</v>
      </c>
      <c r="F37" s="865"/>
      <c r="G37" s="139"/>
      <c r="H37" s="387"/>
      <c r="I37" s="387"/>
      <c r="J37" s="387"/>
      <c r="K37" s="387"/>
      <c r="L37" s="387"/>
      <c r="M37" s="387"/>
    </row>
    <row r="38" spans="1:13" ht="33.75" customHeight="1" thickBot="1" x14ac:dyDescent="0.25">
      <c r="A38" s="337" t="s">
        <v>257</v>
      </c>
      <c r="B38" s="341" t="s">
        <v>855</v>
      </c>
      <c r="C38" s="341" t="s">
        <v>855</v>
      </c>
      <c r="D38" s="358" t="s">
        <v>253</v>
      </c>
      <c r="E38" s="876" t="s">
        <v>258</v>
      </c>
      <c r="F38" s="877"/>
      <c r="G38" s="139"/>
      <c r="H38" s="387"/>
      <c r="I38" s="387" t="b">
        <f>$I$24</f>
        <v>0</v>
      </c>
      <c r="J38" s="387"/>
      <c r="K38" s="387"/>
      <c r="L38" s="387"/>
      <c r="M38" s="387"/>
    </row>
    <row r="39" spans="1:13" ht="15" customHeight="1" thickBot="1" x14ac:dyDescent="0.25">
      <c r="A39" s="403"/>
      <c r="B39" s="389"/>
      <c r="C39" s="389"/>
      <c r="D39" s="389"/>
      <c r="E39" s="387"/>
      <c r="F39" s="387"/>
      <c r="G39" s="139"/>
      <c r="H39" s="387"/>
      <c r="I39" s="387"/>
      <c r="J39" s="387"/>
      <c r="K39" s="387"/>
      <c r="L39" s="387"/>
      <c r="M39" s="387"/>
    </row>
    <row r="40" spans="1:13" ht="17.100000000000001" customHeight="1" thickBot="1" x14ac:dyDescent="0.25">
      <c r="A40" s="160" t="s">
        <v>259</v>
      </c>
      <c r="B40" s="161"/>
      <c r="C40" s="161"/>
      <c r="D40" s="161"/>
      <c r="E40" s="161"/>
      <c r="F40" s="286"/>
      <c r="G40" s="139"/>
      <c r="H40" s="387"/>
      <c r="I40" s="387"/>
      <c r="J40" s="387"/>
      <c r="K40" s="387"/>
      <c r="L40" s="387"/>
      <c r="M40" s="387"/>
    </row>
    <row r="41" spans="1:13" ht="46.5" customHeight="1" x14ac:dyDescent="0.2">
      <c r="A41" s="733" t="s">
        <v>260</v>
      </c>
      <c r="B41" s="842"/>
      <c r="C41" s="842"/>
      <c r="D41" s="842"/>
      <c r="E41" s="842"/>
      <c r="F41" s="868"/>
      <c r="G41" s="139"/>
      <c r="H41" s="387"/>
      <c r="I41" s="387"/>
      <c r="J41" s="387"/>
      <c r="K41" s="387"/>
      <c r="L41" s="387"/>
      <c r="M41" s="387"/>
    </row>
    <row r="42" spans="1:13" ht="49.5" customHeight="1" x14ac:dyDescent="0.2">
      <c r="A42" s="225" t="s">
        <v>240</v>
      </c>
      <c r="B42" s="221" t="s">
        <v>261</v>
      </c>
      <c r="C42" s="221" t="s">
        <v>262</v>
      </c>
      <c r="D42" s="221" t="s">
        <v>263</v>
      </c>
      <c r="E42" s="222" t="s">
        <v>264</v>
      </c>
      <c r="F42" s="343"/>
      <c r="G42" s="139"/>
      <c r="H42" s="387"/>
      <c r="I42" s="387"/>
      <c r="J42" s="387"/>
      <c r="K42" s="387"/>
      <c r="L42" s="387"/>
      <c r="M42" s="387"/>
    </row>
    <row r="43" spans="1:13" ht="15" customHeight="1" x14ac:dyDescent="0.2">
      <c r="A43" s="405" t="s">
        <v>245</v>
      </c>
      <c r="B43" s="406">
        <f t="shared" ref="B43:B48" si="0">$B$18*B30/453.6</f>
        <v>0</v>
      </c>
      <c r="C43" s="407">
        <v>1.85</v>
      </c>
      <c r="D43" s="406">
        <f t="shared" ref="D43:D51" si="1">B43*$B$25/2000</f>
        <v>0</v>
      </c>
      <c r="E43" s="393">
        <v>0.27750000000000002</v>
      </c>
      <c r="F43" s="390"/>
      <c r="G43" s="139"/>
      <c r="H43" s="387"/>
      <c r="I43" s="387"/>
      <c r="J43" s="387" t="b">
        <f>$B43&gt;$C43</f>
        <v>0</v>
      </c>
      <c r="K43" s="387"/>
      <c r="L43" s="387" t="b">
        <f>$D43&gt;$E43</f>
        <v>0</v>
      </c>
      <c r="M43" s="387"/>
    </row>
    <row r="44" spans="1:13" ht="15" customHeight="1" x14ac:dyDescent="0.2">
      <c r="A44" s="405" t="s">
        <v>247</v>
      </c>
      <c r="B44" s="406">
        <f t="shared" si="0"/>
        <v>0</v>
      </c>
      <c r="C44" s="407">
        <v>5.43</v>
      </c>
      <c r="D44" s="406">
        <f t="shared" si="1"/>
        <v>0</v>
      </c>
      <c r="E44" s="393" t="s">
        <v>855</v>
      </c>
      <c r="F44" s="390"/>
      <c r="G44" s="139"/>
      <c r="H44" s="387"/>
      <c r="I44" s="387"/>
      <c r="J44" s="387" t="b">
        <f t="shared" ref="J44:J51" si="2">$B44&gt;$C44</f>
        <v>0</v>
      </c>
      <c r="K44" s="387"/>
      <c r="L44" s="387"/>
      <c r="M44" s="387"/>
    </row>
    <row r="45" spans="1:13" ht="15" customHeight="1" x14ac:dyDescent="0.2">
      <c r="A45" s="405" t="s">
        <v>248</v>
      </c>
      <c r="B45" s="406">
        <f t="shared" si="0"/>
        <v>0</v>
      </c>
      <c r="C45" s="392" t="s">
        <v>855</v>
      </c>
      <c r="D45" s="406">
        <f t="shared" si="1"/>
        <v>0</v>
      </c>
      <c r="E45" s="393" t="s">
        <v>855</v>
      </c>
      <c r="F45" s="390"/>
      <c r="G45" s="139"/>
      <c r="H45" s="387"/>
      <c r="I45" s="387"/>
      <c r="J45" s="387"/>
      <c r="K45" s="387"/>
      <c r="L45" s="387"/>
      <c r="M45" s="387"/>
    </row>
    <row r="46" spans="1:13" ht="15" customHeight="1" x14ac:dyDescent="0.2">
      <c r="A46" s="405" t="s">
        <v>249</v>
      </c>
      <c r="B46" s="406">
        <f t="shared" si="0"/>
        <v>0</v>
      </c>
      <c r="C46" s="408">
        <v>2.1999999999999999E-2</v>
      </c>
      <c r="D46" s="406">
        <f t="shared" si="1"/>
        <v>0</v>
      </c>
      <c r="E46" s="393" t="s">
        <v>855</v>
      </c>
      <c r="F46" s="390"/>
      <c r="G46" s="139"/>
      <c r="H46" s="387"/>
      <c r="I46" s="387"/>
      <c r="J46" s="387" t="b">
        <f t="shared" si="2"/>
        <v>0</v>
      </c>
      <c r="K46" s="387"/>
      <c r="L46" s="387"/>
      <c r="M46" s="387"/>
    </row>
    <row r="47" spans="1:13" ht="15" customHeight="1" x14ac:dyDescent="0.2">
      <c r="A47" s="405" t="s">
        <v>250</v>
      </c>
      <c r="B47" s="406">
        <f t="shared" si="0"/>
        <v>0</v>
      </c>
      <c r="C47" s="408">
        <v>2.1999999999999999E-2</v>
      </c>
      <c r="D47" s="406">
        <f t="shared" si="1"/>
        <v>0</v>
      </c>
      <c r="E47" s="393">
        <v>3.3999999999999998E-3</v>
      </c>
      <c r="F47" s="390"/>
      <c r="G47" s="139"/>
      <c r="H47" s="387"/>
      <c r="I47" s="387"/>
      <c r="J47" s="387" t="b">
        <f t="shared" si="2"/>
        <v>0</v>
      </c>
      <c r="K47" s="387"/>
      <c r="L47" s="387" t="b">
        <f t="shared" ref="L47:L51" si="3">$D47&gt;$E47</f>
        <v>0</v>
      </c>
      <c r="M47" s="387"/>
    </row>
    <row r="48" spans="1:13" ht="15" customHeight="1" x14ac:dyDescent="0.2">
      <c r="A48" s="405" t="s">
        <v>251</v>
      </c>
      <c r="B48" s="406">
        <f t="shared" si="0"/>
        <v>0</v>
      </c>
      <c r="C48" s="392" t="s">
        <v>855</v>
      </c>
      <c r="D48" s="406">
        <f t="shared" si="1"/>
        <v>0</v>
      </c>
      <c r="E48" s="393" t="s">
        <v>855</v>
      </c>
      <c r="F48" s="390"/>
      <c r="G48" s="139"/>
      <c r="H48" s="387"/>
      <c r="I48" s="387"/>
      <c r="J48" s="387"/>
      <c r="K48" s="387"/>
      <c r="L48" s="387"/>
      <c r="M48" s="387"/>
    </row>
    <row r="49" spans="1:13" ht="15" customHeight="1" x14ac:dyDescent="0.2">
      <c r="A49" s="405" t="s">
        <v>252</v>
      </c>
      <c r="B49" s="406">
        <f>$B$19*7.05*$B$18*($B$20/1000000)*(64/32)</f>
        <v>0</v>
      </c>
      <c r="C49" s="408">
        <v>5.8999999999999997E-2</v>
      </c>
      <c r="D49" s="406">
        <f t="shared" si="1"/>
        <v>0</v>
      </c>
      <c r="E49" s="393">
        <v>8.8000000000000005E-3</v>
      </c>
      <c r="F49" s="390"/>
      <c r="G49" s="139"/>
      <c r="H49" s="387"/>
      <c r="I49" s="387"/>
      <c r="J49" s="387" t="b">
        <f t="shared" si="2"/>
        <v>0</v>
      </c>
      <c r="K49" s="387"/>
      <c r="L49" s="387" t="b">
        <f t="shared" si="3"/>
        <v>0</v>
      </c>
      <c r="M49" s="387"/>
    </row>
    <row r="50" spans="1:13" ht="15" customHeight="1" x14ac:dyDescent="0.2">
      <c r="A50" s="405" t="s">
        <v>255</v>
      </c>
      <c r="B50" s="406">
        <f>$B$49*(1/64.06)*(0.1/1)*98.07</f>
        <v>0</v>
      </c>
      <c r="C50" s="409">
        <v>5.7000000000000002E-3</v>
      </c>
      <c r="D50" s="406">
        <f t="shared" si="1"/>
        <v>0</v>
      </c>
      <c r="E50" s="393" t="s">
        <v>855</v>
      </c>
      <c r="F50" s="390"/>
      <c r="G50" s="139"/>
      <c r="H50" s="387"/>
      <c r="I50" s="387"/>
      <c r="J50" s="387" t="b">
        <f t="shared" si="2"/>
        <v>0</v>
      </c>
      <c r="K50" s="387"/>
      <c r="L50" s="387"/>
      <c r="M50" s="387"/>
    </row>
    <row r="51" spans="1:13" ht="15" customHeight="1" x14ac:dyDescent="0.2">
      <c r="A51" s="410" t="s">
        <v>257</v>
      </c>
      <c r="B51" s="619">
        <f>IF(B21="no",0,$B$24*(17/379)*$B$26*(60/1000000))</f>
        <v>0</v>
      </c>
      <c r="C51" s="226">
        <v>0.129</v>
      </c>
      <c r="D51" s="621">
        <f t="shared" si="1"/>
        <v>0</v>
      </c>
      <c r="E51" s="412">
        <v>1.9300000000000001E-2</v>
      </c>
      <c r="F51" s="390"/>
      <c r="G51" s="139"/>
      <c r="H51" s="387"/>
      <c r="I51" s="387" t="b">
        <f>$I$24</f>
        <v>0</v>
      </c>
      <c r="J51" s="387" t="b">
        <f t="shared" si="2"/>
        <v>0</v>
      </c>
      <c r="K51" s="387"/>
      <c r="L51" s="387" t="b">
        <f t="shared" si="3"/>
        <v>0</v>
      </c>
      <c r="M51" s="387"/>
    </row>
    <row r="52" spans="1:13" ht="90.75" customHeight="1" thickBot="1" x14ac:dyDescent="0.25">
      <c r="A52" s="878" t="s">
        <v>265</v>
      </c>
      <c r="B52" s="844"/>
      <c r="C52" s="844"/>
      <c r="D52" s="844"/>
      <c r="E52" s="844"/>
      <c r="F52" s="879"/>
      <c r="G52" s="139"/>
      <c r="H52" s="387"/>
      <c r="I52" s="387"/>
      <c r="J52" s="387"/>
      <c r="K52" s="387"/>
      <c r="L52" s="387"/>
      <c r="M52" s="387"/>
    </row>
    <row r="53" spans="1:13" ht="15" customHeight="1" thickBot="1" x14ac:dyDescent="0.25">
      <c r="A53" s="316"/>
      <c r="B53" s="154"/>
      <c r="C53" s="154"/>
      <c r="D53" s="154"/>
      <c r="E53" s="154"/>
      <c r="F53" s="154"/>
      <c r="G53" s="139"/>
      <c r="H53" s="387"/>
      <c r="I53" s="387"/>
      <c r="J53" s="387"/>
      <c r="K53" s="387"/>
      <c r="L53" s="387"/>
      <c r="M53" s="387"/>
    </row>
    <row r="54" spans="1:13" ht="17.100000000000001" customHeight="1" thickBot="1" x14ac:dyDescent="0.25">
      <c r="A54" s="194" t="s">
        <v>266</v>
      </c>
      <c r="B54" s="195"/>
      <c r="C54" s="195"/>
      <c r="D54" s="195"/>
      <c r="E54" s="195"/>
      <c r="F54" s="286"/>
      <c r="G54" s="139"/>
      <c r="H54" s="387"/>
      <c r="I54" s="387"/>
      <c r="J54" s="387"/>
      <c r="K54" s="387"/>
      <c r="L54" s="387"/>
      <c r="M54" s="387"/>
    </row>
    <row r="55" spans="1:13" ht="20.100000000000001" customHeight="1" thickBot="1" x14ac:dyDescent="0.25">
      <c r="A55" s="413" t="s">
        <v>267</v>
      </c>
      <c r="B55" s="414"/>
      <c r="C55" s="414"/>
      <c r="D55" s="414"/>
      <c r="E55" s="414"/>
      <c r="F55" s="415"/>
      <c r="G55" s="139"/>
      <c r="H55" s="387"/>
      <c r="I55" s="387"/>
      <c r="J55" s="387"/>
      <c r="K55" s="387"/>
      <c r="L55" s="387"/>
      <c r="M55" s="387"/>
    </row>
    <row r="56" spans="1:13" ht="20.100000000000001" customHeight="1" x14ac:dyDescent="0.2">
      <c r="A56" s="204" t="s">
        <v>268</v>
      </c>
      <c r="B56" s="201"/>
      <c r="C56" s="201"/>
      <c r="D56" s="201"/>
      <c r="E56" s="201"/>
      <c r="F56" s="352"/>
      <c r="G56" s="139"/>
      <c r="H56" s="387"/>
      <c r="I56" s="387"/>
      <c r="J56" s="387"/>
      <c r="K56" s="387"/>
      <c r="L56" s="387"/>
      <c r="M56" s="387"/>
    </row>
    <row r="57" spans="1:13" customFormat="1" ht="20.100000000000001" customHeight="1" x14ac:dyDescent="0.2">
      <c r="A57" s="90" t="str">
        <f>"("&amp;TEXT($B$18,"#,##0")&amp;" hp × "&amp;$B$30&amp;" g/hp-hr)"&amp;" ÷ 453.6 lb/g = "&amp;TEXT(($B$18*B30)/453.6,"#,##0.00##")&amp;" lb/hr"</f>
        <v>(0 hp ×  g/hp-hr) ÷ 453.6 lb/g = 0.00 lb/hr</v>
      </c>
      <c r="B57" s="91"/>
      <c r="C57" s="91"/>
      <c r="D57" s="91"/>
      <c r="E57" s="91"/>
      <c r="F57" s="91"/>
      <c r="G57" s="193"/>
    </row>
    <row r="58" spans="1:13" ht="20.100000000000001" customHeight="1" x14ac:dyDescent="0.2">
      <c r="A58" s="205" t="s">
        <v>269</v>
      </c>
      <c r="B58" s="206"/>
      <c r="C58" s="206"/>
      <c r="D58" s="206"/>
      <c r="E58" s="206"/>
      <c r="F58" s="354"/>
      <c r="G58" s="139"/>
      <c r="H58" s="387"/>
      <c r="I58" s="387"/>
      <c r="J58" s="387"/>
      <c r="K58" s="387"/>
      <c r="L58" s="387"/>
      <c r="M58" s="387"/>
    </row>
    <row r="59" spans="1:13" customFormat="1" ht="20.100000000000001" customHeight="1" x14ac:dyDescent="0.2">
      <c r="A59" s="869" t="str">
        <f>"("&amp;TEXT(B19,"#,##0")&amp;" gal diesel/hp-hr × 7.05 lb diesel/gal diesel × "&amp;TEXT($B$18,"#,##0")&amp;" hp)"&amp;" × ("&amp;$B$20&amp;" lb S ÷ 1,000,000 lb diesel)"&amp;" × (64 lb SO2 ÷ 32 lb S) = "&amp;TEXT($B$19*7.05*$B$18*($B$20/1000000)*(64/32),"#,##0.00##")&amp;" lb/hr"</f>
        <v>(0 gal diesel/hp-hr × 7.05 lb diesel/gal diesel × 0 hp) × ( lb S ÷ 1,000,000 lb diesel) × (64 lb SO2 ÷ 32 lb S) = 0.00 lb/hr</v>
      </c>
      <c r="B59" s="870"/>
      <c r="C59" s="870"/>
      <c r="D59" s="870"/>
      <c r="E59" s="870"/>
      <c r="F59" s="871"/>
      <c r="G59" s="193"/>
    </row>
    <row r="60" spans="1:13" ht="20.100000000000001" customHeight="1" x14ac:dyDescent="0.2">
      <c r="A60" s="353" t="s">
        <v>270</v>
      </c>
      <c r="B60" s="271"/>
      <c r="C60" s="271"/>
      <c r="D60" s="271"/>
      <c r="E60" s="271"/>
      <c r="F60" s="271"/>
      <c r="G60" s="139"/>
      <c r="H60" s="387"/>
      <c r="I60" s="387"/>
      <c r="J60" s="387"/>
      <c r="K60" s="387"/>
      <c r="L60" s="387"/>
      <c r="M60" s="387"/>
    </row>
    <row r="61" spans="1:13" customFormat="1" ht="30" customHeight="1" x14ac:dyDescent="0.2">
      <c r="A61" s="707" t="str">
        <f>"("&amp;TEXT($B$49,"#,##0.00")&amp;" lb/hr) × (1 lb mol SO2 ÷ 64.06 lb SO2) × (0.1 lb mol SO3 ÷ 1 lb mol SO2) × (1 lb mol H2SO4 ÷ 1 lb mol SO3) × (98.07 lb H2SO4 ÷ 1 lb mol H2SO4) = "&amp;TEXT($B$49*(1/64.06)*(0.1/1)*98.07,"#,##0.00##")&amp;" lb/hr"</f>
        <v>(0.00 lb/hr) × (1 lb mol SO2 ÷ 64.06 lb SO2) × (0.1 lb mol SO3 ÷ 1 lb mol SO2) × (1 lb mol H2SO4 ÷ 1 lb mol SO3) × (98.07 lb H2SO4 ÷ 1 lb mol H2SO4) = 0.00 lb/hr</v>
      </c>
      <c r="B61" s="859"/>
      <c r="C61" s="859"/>
      <c r="D61" s="859"/>
      <c r="E61" s="859"/>
      <c r="F61" s="860"/>
      <c r="G61" s="193"/>
    </row>
    <row r="62" spans="1:13" ht="20.100000000000001" customHeight="1" x14ac:dyDescent="0.2">
      <c r="A62" s="90" t="s">
        <v>271</v>
      </c>
      <c r="B62" s="415"/>
      <c r="C62" s="415"/>
      <c r="D62" s="415"/>
      <c r="E62" s="415"/>
      <c r="F62" s="415"/>
      <c r="G62" s="139"/>
      <c r="H62" s="387"/>
      <c r="I62" s="387"/>
      <c r="J62" s="387"/>
      <c r="K62" s="387"/>
      <c r="L62" s="387"/>
      <c r="M62" s="387"/>
    </row>
    <row r="63" spans="1:13" ht="20.100000000000001" customHeight="1" x14ac:dyDescent="0.2">
      <c r="A63" s="205" t="s">
        <v>272</v>
      </c>
      <c r="B63" s="206"/>
      <c r="C63" s="206"/>
      <c r="D63" s="206"/>
      <c r="E63" s="206"/>
      <c r="F63" s="354"/>
      <c r="G63" s="139"/>
      <c r="H63" s="387"/>
      <c r="I63" s="387" t="b">
        <f>$I$24</f>
        <v>0</v>
      </c>
      <c r="J63" s="387"/>
      <c r="K63" s="387"/>
      <c r="L63" s="387"/>
      <c r="M63" s="387"/>
    </row>
    <row r="64" spans="1:13" customFormat="1" ht="20.100000000000001" customHeight="1" x14ac:dyDescent="0.2">
      <c r="A64" s="869" t="str">
        <f>"("&amp;TEXT($B$24,"#,##0.00")&amp;" ppm NH3 × 17 lb NH3/lb-mol × "&amp;TEXT($B$26,"#,##0.00")&amp;" scf/min × 60 min/hr) ÷ (379.00 dscf/lb-mol × 1000000) = "&amp;TEXT($B$24*(17/379)*$B$26*(60/1000000),"#,##0.00##")&amp;" lb/hr"</f>
        <v>(0.00 ppm NH3 × 17 lb NH3/lb-mol × 0.00 scf/min × 60 min/hr) ÷ (379.00 dscf/lb-mol × 1000000) = 0.00 lb/hr</v>
      </c>
      <c r="B64" s="870"/>
      <c r="C64" s="870"/>
      <c r="D64" s="870"/>
      <c r="E64" s="870"/>
      <c r="F64" s="871"/>
      <c r="G64" s="193"/>
      <c r="I64" t="b">
        <f>$I$24</f>
        <v>0</v>
      </c>
    </row>
    <row r="65" spans="1:13" ht="20.100000000000001" customHeight="1" x14ac:dyDescent="0.2">
      <c r="A65" s="353" t="s">
        <v>273</v>
      </c>
      <c r="B65" s="271"/>
      <c r="C65" s="271"/>
      <c r="D65" s="271"/>
      <c r="E65" s="271"/>
      <c r="F65" s="271"/>
      <c r="G65" s="139"/>
      <c r="H65" s="387"/>
      <c r="I65" s="387"/>
      <c r="J65" s="387"/>
      <c r="K65" s="387"/>
      <c r="L65" s="387"/>
      <c r="M65" s="387"/>
    </row>
    <row r="66" spans="1:13" customFormat="1" ht="20.100000000000001" customHeight="1" thickBot="1" x14ac:dyDescent="0.25">
      <c r="A66" s="207" t="str">
        <f>"("&amp;TEXT($B$43,"#,##0.00")&amp;" lb/hr × "&amp;$B$25&amp;" hr/yr)"&amp;" ÷  2000 lb/ton = "&amp;TEXT(($B$43*$B$25)/2000,"#,##0.00##")&amp;" tpy"</f>
        <v>(0.00 lb/hr ×  hr/yr) ÷  2000 lb/ton = 0.00 tpy</v>
      </c>
      <c r="B66" s="208"/>
      <c r="C66" s="208"/>
      <c r="D66" s="208"/>
      <c r="E66" s="208"/>
      <c r="F66" s="208"/>
      <c r="G66" s="143"/>
    </row>
    <row r="67" spans="1:13" ht="8.4499999999999993" customHeight="1" x14ac:dyDescent="0.2">
      <c r="A67" s="313"/>
      <c r="B67" s="164"/>
      <c r="C67" s="164"/>
      <c r="D67" s="164"/>
      <c r="E67" s="164"/>
      <c r="F67" s="164"/>
      <c r="G67" s="164"/>
      <c r="H67" s="387"/>
      <c r="I67" s="387"/>
      <c r="J67" s="387"/>
      <c r="K67" s="387"/>
      <c r="L67" s="387"/>
      <c r="M67" s="387"/>
    </row>
    <row r="68" spans="1:13" x14ac:dyDescent="0.2">
      <c r="A68" s="812" t="str">
        <f>HYPERLINK("#Sheet_Eng9","End of sheet. Click here to move to the next sheet.")</f>
        <v>End of sheet. Click here to move to the next sheet.</v>
      </c>
      <c r="B68" s="858"/>
      <c r="C68" s="858"/>
      <c r="D68" s="858"/>
      <c r="E68" s="858"/>
      <c r="F68" s="858"/>
      <c r="G68" s="146"/>
      <c r="H68" s="387"/>
      <c r="I68" s="387"/>
      <c r="J68" s="387"/>
      <c r="K68" s="387"/>
      <c r="L68" s="387"/>
      <c r="M68" s="387"/>
    </row>
    <row r="69" spans="1:13" ht="8.4499999999999993" hidden="1" customHeight="1" x14ac:dyDescent="0.2">
      <c r="A69" s="85"/>
      <c r="B69" s="85"/>
      <c r="C69" s="85"/>
      <c r="D69" s="85"/>
      <c r="E69" s="85"/>
      <c r="F69" s="85"/>
      <c r="G69" s="85"/>
      <c r="H69" s="387"/>
      <c r="I69" s="387"/>
      <c r="J69" s="387"/>
      <c r="K69" s="387"/>
      <c r="L69" s="387"/>
      <c r="M69" s="387"/>
    </row>
    <row r="70" spans="1:13" hidden="1" x14ac:dyDescent="0.2">
      <c r="A70" s="387"/>
      <c r="B70" s="387"/>
      <c r="C70" s="387"/>
      <c r="D70" s="387"/>
      <c r="E70" s="387"/>
      <c r="F70" s="387"/>
      <c r="G70" s="387"/>
      <c r="H70" s="387"/>
      <c r="I70" s="387"/>
      <c r="J70" s="387"/>
      <c r="K70" s="387"/>
      <c r="L70" s="387"/>
      <c r="M70" s="387"/>
    </row>
    <row r="71" spans="1:13" hidden="1" x14ac:dyDescent="0.2">
      <c r="A71" s="387"/>
      <c r="B71" s="387"/>
      <c r="C71" s="387"/>
      <c r="D71" s="387"/>
      <c r="E71" s="387"/>
      <c r="F71" s="387"/>
      <c r="G71" s="387"/>
      <c r="H71" s="387"/>
      <c r="I71" s="387"/>
      <c r="J71" s="387"/>
      <c r="K71" s="387"/>
      <c r="L71" s="387"/>
      <c r="M71" s="387"/>
    </row>
    <row r="72" spans="1:13" hidden="1" x14ac:dyDescent="0.2">
      <c r="A72" s="387"/>
      <c r="B72" s="387"/>
      <c r="C72" s="387"/>
      <c r="D72" s="387"/>
      <c r="E72" s="387"/>
      <c r="F72" s="387"/>
      <c r="G72" s="387"/>
      <c r="H72" s="387"/>
      <c r="I72" s="387"/>
      <c r="J72" s="387"/>
      <c r="K72" s="387"/>
      <c r="L72" s="387"/>
      <c r="M72" s="387"/>
    </row>
    <row r="73" spans="1:13" hidden="1" x14ac:dyDescent="0.2">
      <c r="A73" s="387"/>
      <c r="B73" s="387"/>
      <c r="C73" s="387"/>
      <c r="D73" s="387"/>
      <c r="E73" s="387"/>
      <c r="F73" s="387"/>
      <c r="G73" s="387"/>
      <c r="H73" s="387"/>
      <c r="I73" s="387"/>
      <c r="J73" s="387"/>
      <c r="K73" s="387"/>
      <c r="L73" s="387"/>
      <c r="M73" s="387"/>
    </row>
    <row r="74" spans="1:13" hidden="1" x14ac:dyDescent="0.2">
      <c r="A74" s="387"/>
      <c r="B74" s="387"/>
      <c r="C74" s="387"/>
      <c r="D74" s="387"/>
      <c r="E74" s="387"/>
      <c r="F74" s="387"/>
      <c r="G74" s="387"/>
      <c r="H74" s="387"/>
      <c r="I74" s="387"/>
      <c r="J74" s="387"/>
      <c r="K74" s="387"/>
      <c r="L74" s="387"/>
      <c r="M74" s="387"/>
    </row>
    <row r="75" spans="1:13" hidden="1" x14ac:dyDescent="0.2">
      <c r="A75" s="387"/>
      <c r="B75" s="387"/>
      <c r="C75" s="387"/>
      <c r="D75" s="387"/>
      <c r="E75" s="387"/>
      <c r="F75" s="387"/>
      <c r="G75" s="387"/>
      <c r="H75" s="387"/>
      <c r="I75" s="387"/>
      <c r="J75" s="387"/>
      <c r="K75" s="387"/>
      <c r="L75" s="387"/>
      <c r="M75" s="387"/>
    </row>
    <row r="76" spans="1:13" hidden="1" x14ac:dyDescent="0.2">
      <c r="A76" s="387"/>
      <c r="B76" s="387"/>
      <c r="C76" s="387"/>
      <c r="D76" s="387"/>
      <c r="E76" s="387"/>
      <c r="F76" s="387"/>
      <c r="G76" s="387"/>
      <c r="H76" s="387"/>
      <c r="I76" s="387"/>
      <c r="J76" s="387"/>
      <c r="K76" s="387"/>
      <c r="L76" s="387"/>
      <c r="M76" s="387"/>
    </row>
    <row r="77" spans="1:13" hidden="1" x14ac:dyDescent="0.2">
      <c r="A77" s="387"/>
      <c r="B77" s="387"/>
      <c r="C77" s="387"/>
      <c r="D77" s="387"/>
      <c r="E77" s="387"/>
      <c r="F77" s="387"/>
      <c r="G77" s="387"/>
      <c r="H77" s="387"/>
      <c r="I77" s="387"/>
      <c r="J77" s="387"/>
      <c r="K77" s="387"/>
      <c r="L77" s="387"/>
      <c r="M77" s="387"/>
    </row>
    <row r="78" spans="1:13" hidden="1" x14ac:dyDescent="0.2">
      <c r="A78" s="387"/>
      <c r="B78" s="387"/>
      <c r="C78" s="387"/>
      <c r="D78" s="387"/>
      <c r="E78" s="387"/>
      <c r="F78" s="387"/>
      <c r="G78" s="387"/>
      <c r="H78" s="387"/>
      <c r="I78" s="387"/>
      <c r="J78" s="387"/>
      <c r="K78" s="387"/>
      <c r="L78" s="387"/>
      <c r="M78" s="387"/>
    </row>
    <row r="79" spans="1:13" hidden="1" x14ac:dyDescent="0.2">
      <c r="A79" s="387"/>
      <c r="B79" s="387"/>
      <c r="C79" s="387"/>
      <c r="D79" s="387"/>
      <c r="E79" s="387"/>
      <c r="F79" s="387"/>
      <c r="G79" s="387"/>
      <c r="H79" s="387"/>
      <c r="I79" s="387"/>
      <c r="J79" s="387"/>
      <c r="K79" s="387"/>
      <c r="L79" s="387"/>
      <c r="M79" s="387"/>
    </row>
    <row r="80" spans="1:13" hidden="1" x14ac:dyDescent="0.2">
      <c r="A80" s="387"/>
      <c r="B80" s="387"/>
      <c r="C80" s="387"/>
      <c r="D80" s="387"/>
      <c r="E80" s="387"/>
      <c r="F80" s="387"/>
      <c r="G80" s="387"/>
      <c r="H80" s="387"/>
      <c r="I80" s="387"/>
      <c r="J80" s="387"/>
      <c r="K80" s="387"/>
      <c r="L80" s="387"/>
      <c r="M80" s="387"/>
    </row>
    <row r="81" spans="1:13" hidden="1" x14ac:dyDescent="0.2">
      <c r="A81" s="387"/>
      <c r="B81" s="387"/>
      <c r="C81" s="387"/>
      <c r="D81" s="387"/>
      <c r="E81" s="387"/>
      <c r="F81" s="387"/>
      <c r="G81" s="387"/>
      <c r="H81" s="387"/>
      <c r="I81" s="387"/>
      <c r="J81" s="387"/>
      <c r="K81" s="387"/>
      <c r="L81" s="387"/>
      <c r="M81" s="387"/>
    </row>
    <row r="82" spans="1:13" hidden="1" x14ac:dyDescent="0.2">
      <c r="A82" s="387"/>
      <c r="B82" s="387"/>
      <c r="C82" s="387"/>
      <c r="D82" s="387"/>
      <c r="E82" s="387"/>
      <c r="F82" s="387"/>
      <c r="G82" s="387"/>
      <c r="H82" s="387"/>
      <c r="I82" s="387"/>
      <c r="J82" s="387"/>
      <c r="K82" s="387"/>
      <c r="L82" s="387"/>
      <c r="M82" s="387"/>
    </row>
    <row r="83" spans="1:13" hidden="1" x14ac:dyDescent="0.2">
      <c r="A83" s="387"/>
      <c r="B83" s="387"/>
      <c r="C83" s="387"/>
      <c r="D83" s="387"/>
      <c r="E83" s="387"/>
      <c r="F83" s="387"/>
      <c r="G83" s="387"/>
      <c r="H83" s="387"/>
      <c r="I83" s="387"/>
      <c r="J83" s="387"/>
      <c r="K83" s="387"/>
      <c r="L83" s="387"/>
      <c r="M83" s="387"/>
    </row>
    <row r="84" spans="1:13" hidden="1" x14ac:dyDescent="0.2">
      <c r="A84" s="387"/>
      <c r="B84" s="387"/>
      <c r="C84" s="387"/>
      <c r="D84" s="387"/>
      <c r="E84" s="387"/>
      <c r="F84" s="387"/>
      <c r="G84" s="387"/>
      <c r="H84" s="387"/>
      <c r="I84" s="387"/>
      <c r="J84" s="387"/>
      <c r="K84" s="387"/>
      <c r="L84" s="387"/>
      <c r="M84" s="387"/>
    </row>
  </sheetData>
  <sheetProtection algorithmName="SHA-512" hashValue="XTxGb3sFl1L2eIuMI+eIZkls49ybWUb5uxNM7DaHSLFWPHNaHTXUO4ztAx6zwbjx1dx1R3jaA3wrYbX2QGiXWQ==" saltValue="hJAEKSX7yHMEKFmpXgLI+g==" spinCount="100000" sheet="1" objects="1" scenarios="1" formatColumns="0" formatRows="0" autoFilter="0"/>
  <mergeCells count="18">
    <mergeCell ref="A59:F59"/>
    <mergeCell ref="A61:F61"/>
    <mergeCell ref="A64:F64"/>
    <mergeCell ref="A52:F52"/>
    <mergeCell ref="A68:F68"/>
    <mergeCell ref="A41:F41"/>
    <mergeCell ref="A1:F1"/>
    <mergeCell ref="A2:E2"/>
    <mergeCell ref="E36:F36"/>
    <mergeCell ref="E37:F37"/>
    <mergeCell ref="E38:F38"/>
    <mergeCell ref="E35:F35"/>
    <mergeCell ref="E34:F34"/>
    <mergeCell ref="E33:F33"/>
    <mergeCell ref="E32:F32"/>
    <mergeCell ref="E31:F31"/>
    <mergeCell ref="E30:F30"/>
    <mergeCell ref="E29:F29"/>
  </mergeCells>
  <conditionalFormatting sqref="A24:D24 A38:F38 A51:E51 A63:F64">
    <cfRule type="expression" dxfId="58" priority="2">
      <formula>$I24</formula>
    </cfRule>
  </conditionalFormatting>
  <conditionalFormatting sqref="A1:G66">
    <cfRule type="expression" dxfId="57" priority="1">
      <formula>$I$1</formula>
    </cfRule>
  </conditionalFormatting>
  <conditionalFormatting sqref="B43:D51">
    <cfRule type="expression" dxfId="56" priority="3">
      <formula>J43</formula>
    </cfRule>
  </conditionalFormatting>
  <dataValidations count="28">
    <dataValidation type="decimal" operator="lessThanOrEqual" allowBlank="1" showErrorMessage="1" promptTitle="Emission Factor" prompt="Enter the emission factor for volatile organic compounds (VOC), in grams per horsepower-hour. The pounds per hour (lb/hr) and tons per year (tpy) will automatically calculate in cells to the right." sqref="B35" xr:uid="{E9363142-B1A4-4AF6-8B34-7A45D3FE476A}">
      <formula1>100</formula1>
    </dataValidation>
    <dataValidation type="list" allowBlank="1" showErrorMessage="1" promptTitle="UTM Zone" prompt="Enter the UTM Coordinates zone for the EPN &quot;Engine1&quot;. In Texas, this must be 13, 14, or 15." sqref="B8" xr:uid="{E55F5C93-3221-45C4-8BAD-D5969ED0B160}">
      <formula1>"13,14,15"</formula1>
    </dataValidation>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9" xr:uid="{FBDBF74D-6758-4147-9E99-907E46219ADF}">
      <formula1>205000</formula1>
      <formula2>795000</formula2>
    </dataValidation>
    <dataValidation type="decimal" allowBlank="1" showErrorMessage="1" errorTitle="North (Meters)" error="Enter a value between 2854000 and 4059000 meters." promptTitle="UTM North" prompt="Enter the distance north of the zone datum for this EPN, in meters. This is a six-digit number between 2854000 and 4059000." sqref="B10" xr:uid="{3DA9F8EA-49B7-4A73-BB51-2729B254D584}">
      <formula1>2854000</formula1>
      <formula2>4059000</formula2>
    </dataValidation>
    <dataValidation operator="greaterThanOrEqual" allowBlank="1" showErrorMessage="1" errorTitle="Maximum Value Exceeded" error="Please enter a value for this parameter below the maximum value." promptTitle="Input Parameters" prompt="Enter the rated brake horsepower (BHP) in horsepower (hp). Note that this value must be less than __." sqref="B18" xr:uid="{9ACF7806-864B-4ABC-B18E-5697646250D1}"/>
    <dataValidation type="decimal" operator="greaterThanOrEqual" allowBlank="1" showErrorMessage="1" errorTitle="Parameter Below Minimum Value" error="Please enter a value for this parameter that is larger than the minimum value." promptTitle="Input Parameters" prompt="Enter the velocity of the emisions, in feet per second. Note that this value must be greater than 168.7 feet per second." sqref="B17" xr:uid="{F39F5983-7F8F-4301-961A-3F28F037BECB}">
      <formula1>C17</formula1>
    </dataValidation>
    <dataValidation type="decimal" operator="greaterThanOrEqual" allowBlank="1" showErrorMessage="1" errorTitle="Parameter Below Minimum Value" error="Please enter a value for this parameter that is larger than the minimum value." promptTitle="Input Parameters" prompt="Enter the Temperature in degrees Fahrenheit for this EPN. Note that this must be at least 828 degrees." sqref="B16" xr:uid="{F941A726-2F0C-47D2-95E6-AC739EBBDC33}">
      <formula1>C16</formula1>
    </dataValidation>
    <dataValidation type="decimal" operator="greaterThanOrEqual" allowBlank="1" showErrorMessage="1" errorTitle="Parameter Below Minimum Value" error="Please enter a value for this parameter that is larger than the minimum value." promptTitle="Imput Parameters" prompt="Enter the stack diameter. With this permit, the stack must be at least 0.66 feet wide." sqref="B15" xr:uid="{DA65C6F7-AA79-4E20-A407-3EEACA7848C3}">
      <formula1>C15</formula1>
    </dataValidation>
    <dataValidation type="decimal" operator="greaterThanOrEqual" allowBlank="1" showErrorMessage="1" errorTitle="Parameter Below Minimum Value" error="Please enter a value for this parameter that is larger than the minimum value." promptTitle="Input Parameters" prompt="Enter the release height of this EPN. This must be at least 25 feet." sqref="B14" xr:uid="{F8B8BFB5-BCD6-43AA-A655-07547ECEA4FD}">
      <formula1>C14</formula1>
    </dataValidation>
    <dataValidation type="decimal" operator="lessThanOrEqual" allowBlank="1" showErrorMessage="1" errorTitle="Maximum Value Exceeded" error="Please enter a value for this parameter below the maximum value." promptTitle="Input Parameters" prompt="Enter the annual operating schedule in total hours per year. Note that this value must be below 300 hours per year." sqref="B25" xr:uid="{12D0102C-C88B-488A-B3C3-8A6F51699EF4}">
      <formula1>D25</formula1>
    </dataValidation>
    <dataValidation allowBlank="1" showErrorMessage="1" promptTitle="EPN" prompt="Input the Emission Point Number for the engine.  Limited to 10 ahlpanumeric characters." sqref="A1:E1" xr:uid="{1BD1191D-172A-402C-8F99-C15152AB0691}"/>
    <dataValidation allowBlank="1" showErrorMessage="1" promptTitle="Source Name" prompt="Enter the Source Name for the engine." sqref="B7" xr:uid="{D1516089-FA2D-4E75-933F-2DF5C0576C90}"/>
    <dataValidation allowBlank="1" showErrorMessage="1" prompt="select source of emission factor" sqref="D36:D38" xr:uid="{8420B276-C4B5-4D35-ADB0-F7AA8B0EE1C0}"/>
    <dataValidation type="decimal" operator="lessThanOrEqual" allowBlank="1" showErrorMessage="1" promptTitle="Emission Factor" prompt="Enter the emission factor for carbon monoxide, in grams per horsepower-hour. The pounds per hour (lb/hr) and tons per year (tpy) will automatically calculate in cells to the right." sqref="B31" xr:uid="{90AA9970-A825-4E91-B5E7-52ED7D0ACE1A}">
      <formula1>C44*453.6/$B$18</formula1>
    </dataValidation>
    <dataValidation type="decimal" operator="lessThanOrEqual" allowBlank="1" showErrorMessage="1" promptTitle="Emission Factor" prompt="Enter the emission factor for NOx, in grams per horsepower-hour. The pounds per hour (lb/hr) and tons per year (tpy) will automatically calculate in cells to the right." sqref="B30" xr:uid="{82ED7468-C98E-4E6A-B5C5-52E010E88CF3}">
      <formula1>C43*453.6/$B$18</formula1>
    </dataValidation>
    <dataValidation type="list" allowBlank="1" showInputMessage="1" showErrorMessage="1" sqref="D30:D35" xr:uid="{E3A7DFF2-802C-457E-A971-8F9438E3F071}">
      <formula1>EngDDSource</formula1>
    </dataValidation>
    <dataValidation type="decimal" operator="lessThanOrEqual" allowBlank="1" showErrorMessage="1" promptTitle="Input Parameters" prompt="Enter the ammonia concentration in ppm." sqref="B24" xr:uid="{21FAF7CB-B2E7-4C56-9410-9F47AF2A9CD0}">
      <formula1>10</formula1>
    </dataValidation>
    <dataValidation type="decimal" operator="lessThanOrEqual" allowBlank="1" showErrorMessage="1" promptTitle="Input Parameters" prompt="Enter the sulfur content of the diesel." sqref="B20" xr:uid="{AA1A0C99-75A5-4281-90BD-855C49758F98}">
      <formula1>15</formula1>
    </dataValidation>
    <dataValidation type="list" allowBlank="1" showErrorMessage="1" promptTitle="Input Parameters" prompt="Is there a diesel filter? Select or enter yes or no." sqref="B23" xr:uid="{82DDD174-4E16-4F5D-B97B-C8793070A017}">
      <formula1>"Yes,No"</formula1>
    </dataValidation>
    <dataValidation type="list" allowBlank="1" showErrorMessage="1" promptTitle="Input Parameters" prompt="Is there an oxidation catalyst? Select or enter yes or no." sqref="B22" xr:uid="{547AED70-9E61-453D-84B3-5C8A14C95F58}">
      <formula1>"Yes,No"</formula1>
    </dataValidation>
    <dataValidation type="decimal" operator="greaterThanOrEqual" allowBlank="1" showErrorMessage="1" errorTitle="Maximum Value Exceeded" error="Please enter a value for this parameter below the maximum value." prompt="Exhaust gas flow rate is deteremined by input parameters." sqref="B26" xr:uid="{DCA6C18C-E03B-4125-9856-8A10BE86867C}">
      <formula1>0</formula1>
    </dataValidation>
    <dataValidation type="list" allowBlank="1" showErrorMessage="1" promptTitle="Input Parameters" prompt="Is there a selective catalytic reduction (SCR) system for this engine? Select or enter yes or no." sqref="B21" xr:uid="{870B396E-186C-485E-A899-4424A02E0576}">
      <formula1>"Yes,No"</formula1>
    </dataValidation>
    <dataValidation operator="lessThanOrEqual" allowBlank="1" showErrorMessage="1" promptTitle="Emission Factor" prompt="Enter the emission factor for particulate matter with diameters 2.5 microns or less (PM2.5), in grams per horsepower-hour. The pounds per hour (lb/hr) and tons per year (tpy) will automatically calculate in cells to the right." sqref="B34" xr:uid="{E5A78EC5-A49C-4703-A6DA-EA2CBF710746}"/>
    <dataValidation operator="lessThanOrEqual" allowBlank="1" showErrorMessage="1" promptTitle="Emission Factor" prompt="Enter the emission factor for particulate matter with diameters 10 microns or less (PM10), in grams per horsepower-hour. The pounds per hour (lb/hr) and tons per year (tpy) will automatically calculate in cells to the right." sqref="B33" xr:uid="{3DC023BE-6A94-40E6-BFC3-B5BBF3E88A79}"/>
    <dataValidation operator="lessThanOrEqual" allowBlank="1" showErrorMessage="1" promptTitle="Emission Factor" prompt="Enter the emission factor for particulate matter (PM), in grams per horsepower-hour. The pounds per hour (lb/hr) and tons per year (tpy) will automatically calculate in cells to the right." sqref="B32" xr:uid="{56763E6B-9C8E-400E-8FD9-0797F5E3C686}"/>
    <dataValidation allowBlank="1" showErrorMessage="1" prompt="This cell intentionally left blank for internal comments. All internal comments must be submitted prior to application submittal." sqref="G3:G66 F41" xr:uid="{97BB3533-417B-4C1F-B89B-B93E6FC5BCF7}"/>
    <dataValidation type="textLength" allowBlank="1" showErrorMessage="1" promptTitle="FIN" prompt="Input the Facility Identification Number for the engine.  Limited to 10 alphanumeric characters." sqref="B6" xr:uid="{522A1F48-8323-43AE-87A1-76DBA30B5FF4}">
      <formula1>0</formula1>
      <formula2>10</formula2>
    </dataValidation>
    <dataValidation type="decimal" operator="greaterThanOrEqual" allowBlank="1" showErrorMessage="1" errorTitle="Maximum Value Exceeded" error="Please enter a value for this parameter below the maximum value." promptTitle="Input Parameters" prompt="Enter the fuel consumption rate, in pounds of diesel per horsepower-hour._x000a_" sqref="B19" xr:uid="{C19CE105-A2BC-4BC1-B809-8C34EB000A92}">
      <formula1>0</formula1>
    </dataValidation>
  </dataValidations>
  <printOptions horizontalCentered="1"/>
  <pageMargins left="0.25" right="0.25" top="0.57395833333333302" bottom="0.61354166666666698" header="0.3" footer="0.3"/>
  <pageSetup scale="73" orientation="portrait" r:id="rId1"/>
  <headerFooter>
    <oddHeader>&amp;C&amp;"Arial,Regular"Engine Power Generation RAP Application</oddHeader>
    <oddFooter>&amp;L&amp;"Arial,Regular"Version: 1.0&amp;C&amp;"Arial,Regular"Sheet: &amp;A&amp;R&amp;"Arial,Regular"Page &amp;P</oddFooter>
  </headerFooter>
  <rowBreaks count="1" manualBreakCount="1">
    <brk id="52" max="16383" man="1"/>
  </rowBreaks>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F24AB-C5E4-4312-892C-C330005CAD34}">
  <sheetPr codeName="Sheet14">
    <tabColor rgb="FFFFFFCC"/>
  </sheetPr>
  <dimension ref="A1:N84"/>
  <sheetViews>
    <sheetView showGridLines="0" zoomScaleNormal="100" workbookViewId="0">
      <selection sqref="A1:F1"/>
    </sheetView>
  </sheetViews>
  <sheetFormatPr defaultColWidth="0" defaultRowHeight="14.25" zeroHeight="1" x14ac:dyDescent="0.2"/>
  <cols>
    <col min="1" max="1" width="34.125" style="2" customWidth="1"/>
    <col min="2" max="3" width="14.375" style="2" customWidth="1"/>
    <col min="4" max="4" width="16.375" style="2" customWidth="1"/>
    <col min="5" max="5" width="18.5" style="2" customWidth="1"/>
    <col min="6" max="6" width="27.125" style="2" customWidth="1"/>
    <col min="7" max="7" width="40.625" style="2" customWidth="1"/>
    <col min="8" max="8" width="2.625" style="2" customWidth="1"/>
    <col min="9" max="16384" width="9" style="2" hidden="1"/>
  </cols>
  <sheetData>
    <row r="1" spans="1:13" ht="18.75" thickBot="1" x14ac:dyDescent="0.25">
      <c r="A1" s="861" t="s">
        <v>282</v>
      </c>
      <c r="B1" s="862"/>
      <c r="C1" s="862"/>
      <c r="D1" s="862"/>
      <c r="E1" s="862"/>
      <c r="F1" s="863"/>
      <c r="G1" s="133" t="s">
        <v>60</v>
      </c>
      <c r="H1" s="387"/>
      <c r="I1" s="387" t="b">
        <f>'PI-1-PowerEngine'!$B$78&lt;9</f>
        <v>1</v>
      </c>
      <c r="J1" s="387"/>
      <c r="K1" s="387"/>
      <c r="L1" s="387"/>
      <c r="M1" s="387"/>
    </row>
    <row r="2" spans="1:13" ht="61.5" customHeight="1" thickBot="1" x14ac:dyDescent="0.25">
      <c r="A2" s="880" t="s">
        <v>215</v>
      </c>
      <c r="B2" s="853"/>
      <c r="C2" s="853"/>
      <c r="D2" s="853"/>
      <c r="E2" s="853"/>
      <c r="F2" s="284"/>
      <c r="G2" s="64" t="s">
        <v>63</v>
      </c>
      <c r="H2" s="387"/>
      <c r="I2" s="387"/>
      <c r="J2" s="387"/>
      <c r="K2" s="387"/>
      <c r="L2" s="387"/>
      <c r="M2" s="387"/>
    </row>
    <row r="3" spans="1:13" ht="15" customHeight="1" thickBot="1" x14ac:dyDescent="0.25">
      <c r="A3" s="314" t="s">
        <v>4</v>
      </c>
      <c r="B3" s="97"/>
      <c r="C3" s="97"/>
      <c r="D3" s="97"/>
      <c r="E3" s="97"/>
      <c r="F3" s="97"/>
      <c r="G3" s="138"/>
      <c r="H3" s="387"/>
      <c r="I3" s="387"/>
      <c r="J3" s="387"/>
      <c r="K3" s="387"/>
      <c r="L3" s="387"/>
      <c r="M3" s="387"/>
    </row>
    <row r="4" spans="1:13" ht="17.100000000000001" customHeight="1" thickBot="1" x14ac:dyDescent="0.25">
      <c r="A4" s="171" t="s">
        <v>167</v>
      </c>
      <c r="B4" s="172"/>
      <c r="C4" s="172"/>
      <c r="D4" s="172"/>
      <c r="E4" s="172"/>
      <c r="F4" s="286"/>
      <c r="G4" s="139"/>
      <c r="H4" s="387"/>
      <c r="I4" s="387"/>
      <c r="J4" s="387"/>
      <c r="K4" s="387"/>
      <c r="L4" s="387"/>
      <c r="M4" s="387"/>
    </row>
    <row r="5" spans="1:13" ht="17.100000000000001" customHeight="1" x14ac:dyDescent="0.2">
      <c r="A5" s="295" t="s">
        <v>72</v>
      </c>
      <c r="B5" s="227" t="s">
        <v>73</v>
      </c>
      <c r="C5" s="228"/>
      <c r="D5" s="196"/>
      <c r="E5" s="196"/>
      <c r="F5" s="296"/>
      <c r="G5" s="139"/>
      <c r="H5" s="387"/>
      <c r="I5" s="387"/>
      <c r="J5" s="387"/>
      <c r="K5" s="387"/>
      <c r="L5" s="387"/>
      <c r="M5" s="387"/>
    </row>
    <row r="6" spans="1:13" ht="15" customHeight="1" x14ac:dyDescent="0.2">
      <c r="A6" s="388" t="s">
        <v>216</v>
      </c>
      <c r="B6" s="224"/>
      <c r="C6" s="229"/>
      <c r="D6" s="389"/>
      <c r="E6" s="389"/>
      <c r="F6" s="390"/>
      <c r="G6" s="139"/>
      <c r="H6" s="387"/>
      <c r="I6" s="387"/>
      <c r="J6" s="387"/>
      <c r="K6" s="387"/>
      <c r="L6" s="387"/>
      <c r="M6" s="387"/>
    </row>
    <row r="7" spans="1:13" ht="15" customHeight="1" x14ac:dyDescent="0.2">
      <c r="A7" s="257" t="s">
        <v>217</v>
      </c>
      <c r="B7" s="391"/>
      <c r="C7" s="389"/>
      <c r="D7" s="389"/>
      <c r="E7" s="389"/>
      <c r="F7" s="390"/>
      <c r="G7" s="139"/>
      <c r="H7" s="387"/>
      <c r="I7" s="387"/>
      <c r="J7" s="387"/>
      <c r="K7" s="387"/>
      <c r="L7" s="387"/>
      <c r="M7" s="387"/>
    </row>
    <row r="8" spans="1:13" ht="15" customHeight="1" x14ac:dyDescent="0.2">
      <c r="A8" s="369" t="s">
        <v>218</v>
      </c>
      <c r="B8" s="391"/>
      <c r="C8" s="389"/>
      <c r="D8" s="389"/>
      <c r="E8" s="389"/>
      <c r="F8" s="390"/>
      <c r="G8" s="139"/>
      <c r="H8" s="387"/>
      <c r="I8" s="387"/>
      <c r="J8" s="387"/>
      <c r="K8" s="387"/>
      <c r="L8" s="387"/>
      <c r="M8" s="387"/>
    </row>
    <row r="9" spans="1:13" ht="15" customHeight="1" x14ac:dyDescent="0.2">
      <c r="A9" s="369" t="s">
        <v>219</v>
      </c>
      <c r="B9" s="174"/>
      <c r="C9" s="389"/>
      <c r="D9" s="389"/>
      <c r="E9" s="389"/>
      <c r="F9" s="390"/>
      <c r="G9" s="139"/>
      <c r="H9" s="387"/>
      <c r="I9" s="387"/>
      <c r="J9" s="387"/>
      <c r="K9" s="387"/>
      <c r="L9" s="387"/>
      <c r="M9" s="387"/>
    </row>
    <row r="10" spans="1:13" ht="15" thickBot="1" x14ac:dyDescent="0.25">
      <c r="A10" s="258" t="s">
        <v>220</v>
      </c>
      <c r="B10" s="300"/>
      <c r="C10" s="416"/>
      <c r="D10" s="416"/>
      <c r="E10" s="416"/>
      <c r="F10" s="417"/>
      <c r="G10" s="139"/>
      <c r="H10" s="387"/>
      <c r="I10" s="387"/>
      <c r="J10" s="387"/>
      <c r="K10" s="387"/>
      <c r="L10" s="387"/>
      <c r="M10" s="387"/>
    </row>
    <row r="11" spans="1:13" ht="15" customHeight="1" thickBot="1" x14ac:dyDescent="0.25">
      <c r="A11" s="85"/>
      <c r="B11" s="85"/>
      <c r="C11" s="318" t="s">
        <v>4</v>
      </c>
      <c r="D11" s="85"/>
      <c r="E11" s="85"/>
      <c r="F11" s="85"/>
      <c r="G11" s="139"/>
      <c r="H11" s="387"/>
      <c r="I11" s="387"/>
      <c r="J11" s="387"/>
      <c r="K11" s="387"/>
      <c r="L11" s="387"/>
      <c r="M11" s="387"/>
    </row>
    <row r="12" spans="1:13" ht="17.100000000000001" customHeight="1" thickBot="1" x14ac:dyDescent="0.25">
      <c r="A12" s="171" t="s">
        <v>221</v>
      </c>
      <c r="B12" s="172"/>
      <c r="C12" s="172"/>
      <c r="D12" s="172"/>
      <c r="E12" s="172"/>
      <c r="F12" s="286"/>
      <c r="G12" s="139"/>
      <c r="H12" s="387"/>
      <c r="I12" s="387"/>
      <c r="J12" s="387"/>
      <c r="K12" s="387"/>
      <c r="L12" s="387"/>
      <c r="M12" s="387"/>
    </row>
    <row r="13" spans="1:13" ht="15" customHeight="1" x14ac:dyDescent="0.2">
      <c r="A13" s="301" t="s">
        <v>222</v>
      </c>
      <c r="B13" s="221" t="s">
        <v>223</v>
      </c>
      <c r="C13" s="221" t="s">
        <v>224</v>
      </c>
      <c r="D13" s="222" t="s">
        <v>225</v>
      </c>
      <c r="E13" s="209"/>
      <c r="F13" s="345"/>
      <c r="G13" s="139"/>
      <c r="H13" s="387"/>
      <c r="I13" s="387"/>
      <c r="J13" s="387"/>
      <c r="K13" s="387"/>
      <c r="L13" s="387"/>
      <c r="M13" s="387"/>
    </row>
    <row r="14" spans="1:13" ht="15" customHeight="1" x14ac:dyDescent="0.2">
      <c r="A14" s="369" t="s">
        <v>226</v>
      </c>
      <c r="B14" s="391"/>
      <c r="C14" s="392">
        <v>25</v>
      </c>
      <c r="D14" s="393" t="s">
        <v>855</v>
      </c>
      <c r="E14" s="394"/>
      <c r="F14" s="395"/>
      <c r="G14" s="139"/>
      <c r="H14" s="387"/>
      <c r="I14" s="387"/>
      <c r="J14" s="387"/>
      <c r="K14" s="387"/>
      <c r="L14" s="387"/>
      <c r="M14" s="387"/>
    </row>
    <row r="15" spans="1:13" ht="15" customHeight="1" x14ac:dyDescent="0.2">
      <c r="A15" s="369" t="s">
        <v>227</v>
      </c>
      <c r="B15" s="391"/>
      <c r="C15" s="392">
        <v>0.66</v>
      </c>
      <c r="D15" s="393" t="s">
        <v>855</v>
      </c>
      <c r="E15" s="394"/>
      <c r="F15" s="395"/>
      <c r="G15" s="139"/>
      <c r="H15" s="387"/>
      <c r="I15" s="387"/>
      <c r="J15" s="387"/>
      <c r="K15" s="387"/>
      <c r="L15" s="387"/>
      <c r="M15" s="387"/>
    </row>
    <row r="16" spans="1:13" ht="15" customHeight="1" x14ac:dyDescent="0.2">
      <c r="A16" s="369" t="s">
        <v>228</v>
      </c>
      <c r="B16" s="396"/>
      <c r="C16" s="392">
        <v>828</v>
      </c>
      <c r="D16" s="393" t="s">
        <v>855</v>
      </c>
      <c r="E16" s="394"/>
      <c r="F16" s="395"/>
      <c r="G16" s="139"/>
      <c r="H16" s="387"/>
      <c r="I16" s="387"/>
      <c r="J16" s="387"/>
      <c r="K16" s="387"/>
      <c r="L16" s="387"/>
      <c r="M16" s="387"/>
    </row>
    <row r="17" spans="1:14" ht="15" customHeight="1" x14ac:dyDescent="0.2">
      <c r="A17" s="369" t="s">
        <v>229</v>
      </c>
      <c r="B17" s="391"/>
      <c r="C17" s="392">
        <v>168.7</v>
      </c>
      <c r="D17" s="393" t="s">
        <v>855</v>
      </c>
      <c r="E17" s="394"/>
      <c r="F17" s="395"/>
      <c r="G17" s="139"/>
      <c r="H17" s="387"/>
      <c r="I17" s="387"/>
      <c r="J17" s="387"/>
      <c r="K17" s="387"/>
      <c r="L17" s="387"/>
      <c r="M17" s="387"/>
      <c r="N17" s="397"/>
    </row>
    <row r="18" spans="1:14" ht="15" customHeight="1" x14ac:dyDescent="0.2">
      <c r="A18" s="282" t="s">
        <v>230</v>
      </c>
      <c r="B18" s="396"/>
      <c r="C18" s="392" t="s">
        <v>855</v>
      </c>
      <c r="D18" s="393" t="s">
        <v>855</v>
      </c>
      <c r="E18" s="394"/>
      <c r="F18" s="395"/>
      <c r="G18" s="139"/>
      <c r="H18" s="387"/>
      <c r="I18" s="387"/>
      <c r="J18" s="387"/>
      <c r="K18" s="387"/>
      <c r="L18" s="387"/>
      <c r="M18" s="387"/>
      <c r="N18" s="387"/>
    </row>
    <row r="19" spans="1:14" ht="15" customHeight="1" x14ac:dyDescent="0.2">
      <c r="A19" s="369" t="s">
        <v>231</v>
      </c>
      <c r="B19" s="391"/>
      <c r="C19" s="392" t="s">
        <v>855</v>
      </c>
      <c r="D19" s="393" t="s">
        <v>855</v>
      </c>
      <c r="E19" s="394"/>
      <c r="F19" s="395"/>
      <c r="G19" s="139"/>
      <c r="H19" s="387"/>
      <c r="I19" s="387"/>
      <c r="J19" s="387"/>
      <c r="K19" s="387"/>
      <c r="L19" s="387"/>
      <c r="M19" s="387"/>
      <c r="N19" s="387"/>
    </row>
    <row r="20" spans="1:14" ht="15" customHeight="1" x14ac:dyDescent="0.2">
      <c r="A20" s="369" t="s">
        <v>232</v>
      </c>
      <c r="B20" s="159"/>
      <c r="C20" s="392" t="s">
        <v>855</v>
      </c>
      <c r="D20" s="393">
        <v>15</v>
      </c>
      <c r="E20" s="394"/>
      <c r="F20" s="395"/>
      <c r="G20" s="139"/>
      <c r="H20" s="387"/>
      <c r="I20" s="387"/>
      <c r="J20" s="387"/>
      <c r="K20" s="387"/>
      <c r="L20" s="387"/>
      <c r="M20" s="387"/>
      <c r="N20" s="387"/>
    </row>
    <row r="21" spans="1:14" ht="29.25" customHeight="1" x14ac:dyDescent="0.2">
      <c r="A21" s="398" t="s">
        <v>233</v>
      </c>
      <c r="B21" s="159"/>
      <c r="C21" s="392" t="s">
        <v>855</v>
      </c>
      <c r="D21" s="393" t="s">
        <v>855</v>
      </c>
      <c r="E21" s="394"/>
      <c r="F21" s="395"/>
      <c r="G21" s="139"/>
      <c r="H21" s="387"/>
      <c r="I21" s="387"/>
      <c r="J21" s="387"/>
      <c r="K21" s="387"/>
      <c r="L21" s="387"/>
      <c r="M21" s="387"/>
      <c r="N21" s="387"/>
    </row>
    <row r="22" spans="1:14" ht="15" customHeight="1" x14ac:dyDescent="0.2">
      <c r="A22" s="398" t="s">
        <v>234</v>
      </c>
      <c r="B22" s="159"/>
      <c r="C22" s="392" t="s">
        <v>855</v>
      </c>
      <c r="D22" s="393" t="s">
        <v>855</v>
      </c>
      <c r="E22" s="394"/>
      <c r="F22" s="395"/>
      <c r="G22" s="139"/>
      <c r="H22" s="387"/>
      <c r="I22" s="387"/>
      <c r="J22" s="387"/>
      <c r="K22" s="387"/>
      <c r="L22" s="387"/>
      <c r="M22" s="387"/>
      <c r="N22" s="387"/>
    </row>
    <row r="23" spans="1:14" ht="15" customHeight="1" x14ac:dyDescent="0.2">
      <c r="A23" s="398" t="s">
        <v>235</v>
      </c>
      <c r="B23" s="159"/>
      <c r="C23" s="392" t="s">
        <v>855</v>
      </c>
      <c r="D23" s="393" t="s">
        <v>855</v>
      </c>
      <c r="E23" s="394"/>
      <c r="F23" s="395"/>
      <c r="G23" s="139"/>
      <c r="H23" s="387"/>
      <c r="I23" s="387"/>
      <c r="J23" s="387"/>
      <c r="K23" s="387"/>
      <c r="L23" s="387"/>
      <c r="M23" s="387"/>
      <c r="N23" s="387"/>
    </row>
    <row r="24" spans="1:14" ht="15" customHeight="1" x14ac:dyDescent="0.2">
      <c r="A24" s="369" t="s">
        <v>236</v>
      </c>
      <c r="B24" s="159"/>
      <c r="C24" s="392" t="s">
        <v>855</v>
      </c>
      <c r="D24" s="393">
        <v>10</v>
      </c>
      <c r="E24" s="394"/>
      <c r="F24" s="395"/>
      <c r="G24" s="139"/>
      <c r="H24" s="387"/>
      <c r="I24" s="387" t="b">
        <f>$B$21="NO"</f>
        <v>0</v>
      </c>
      <c r="J24" s="387"/>
      <c r="K24" s="387"/>
      <c r="L24" s="387"/>
      <c r="M24" s="387"/>
      <c r="N24" s="387"/>
    </row>
    <row r="25" spans="1:14" ht="15" customHeight="1" x14ac:dyDescent="0.2">
      <c r="A25" s="369" t="s">
        <v>237</v>
      </c>
      <c r="B25" s="159"/>
      <c r="C25" s="392" t="s">
        <v>855</v>
      </c>
      <c r="D25" s="393">
        <v>300</v>
      </c>
      <c r="E25" s="394"/>
      <c r="F25" s="395"/>
      <c r="G25" s="139"/>
      <c r="H25" s="387"/>
      <c r="I25" s="387"/>
      <c r="J25" s="387"/>
      <c r="K25" s="387"/>
      <c r="L25" s="387"/>
      <c r="M25" s="387"/>
      <c r="N25" s="387"/>
    </row>
    <row r="26" spans="1:14" ht="15" customHeight="1" thickBot="1" x14ac:dyDescent="0.25">
      <c r="A26" s="283" t="s">
        <v>275</v>
      </c>
      <c r="B26" s="285">
        <f>B17*60*PI()/4*B15^2*(459.67+60)/(459.67+B16)</f>
        <v>0</v>
      </c>
      <c r="C26" s="399" t="s">
        <v>855</v>
      </c>
      <c r="D26" s="400" t="s">
        <v>855</v>
      </c>
      <c r="E26" s="401"/>
      <c r="F26" s="402"/>
      <c r="G26" s="139"/>
      <c r="H26" s="387"/>
      <c r="I26" s="387"/>
      <c r="J26" s="387"/>
      <c r="K26" s="387"/>
      <c r="L26" s="387"/>
      <c r="M26" s="387"/>
      <c r="N26" s="387"/>
    </row>
    <row r="27" spans="1:14" ht="15" customHeight="1" thickBot="1" x14ac:dyDescent="0.25">
      <c r="A27" s="403"/>
      <c r="B27" s="389"/>
      <c r="C27" s="389"/>
      <c r="D27" s="389"/>
      <c r="E27" s="387"/>
      <c r="F27" s="387"/>
      <c r="G27" s="139"/>
      <c r="H27" s="387"/>
      <c r="I27" s="387"/>
      <c r="J27" s="387"/>
      <c r="K27" s="387"/>
      <c r="L27" s="387"/>
      <c r="M27" s="387"/>
      <c r="N27" s="387"/>
    </row>
    <row r="28" spans="1:14" ht="15" customHeight="1" thickBot="1" x14ac:dyDescent="0.25">
      <c r="A28" s="160" t="s">
        <v>239</v>
      </c>
      <c r="B28" s="161"/>
      <c r="C28" s="161"/>
      <c r="D28" s="161"/>
      <c r="E28" s="161"/>
      <c r="F28" s="286"/>
      <c r="G28" s="139"/>
      <c r="H28" s="387"/>
      <c r="I28" s="387"/>
      <c r="J28" s="387"/>
      <c r="K28" s="387"/>
      <c r="L28" s="387"/>
      <c r="M28" s="387"/>
      <c r="N28" s="387"/>
    </row>
    <row r="29" spans="1:14" ht="15" x14ac:dyDescent="0.2">
      <c r="A29" s="225" t="s">
        <v>240</v>
      </c>
      <c r="B29" s="63" t="s">
        <v>241</v>
      </c>
      <c r="C29" s="221" t="s">
        <v>242</v>
      </c>
      <c r="D29" s="357" t="s">
        <v>243</v>
      </c>
      <c r="E29" s="882" t="s">
        <v>244</v>
      </c>
      <c r="F29" s="867"/>
      <c r="G29" s="139"/>
      <c r="H29" s="387"/>
      <c r="I29" s="387"/>
      <c r="J29" s="387"/>
      <c r="K29" s="387"/>
      <c r="L29" s="387"/>
      <c r="M29" s="387"/>
      <c r="N29" s="387"/>
    </row>
    <row r="30" spans="1:14" x14ac:dyDescent="0.2">
      <c r="A30" s="334" t="s">
        <v>245</v>
      </c>
      <c r="B30" s="404"/>
      <c r="C30" s="392" t="s">
        <v>246</v>
      </c>
      <c r="D30" s="355"/>
      <c r="E30" s="881" t="str">
        <f>IFERROR(INDEX(Reference!$AQ$14:$AQ$17,MATCH(D30,EngDDSource,0)),"")</f>
        <v/>
      </c>
      <c r="F30" s="865"/>
      <c r="G30" s="139"/>
      <c r="H30" s="387"/>
      <c r="I30" s="387"/>
      <c r="J30" s="387"/>
      <c r="K30" s="387"/>
      <c r="L30" s="387"/>
      <c r="M30" s="387"/>
      <c r="N30" s="387"/>
    </row>
    <row r="31" spans="1:14" x14ac:dyDescent="0.2">
      <c r="A31" s="334" t="s">
        <v>247</v>
      </c>
      <c r="B31" s="404"/>
      <c r="C31" s="392" t="s">
        <v>246</v>
      </c>
      <c r="D31" s="355"/>
      <c r="E31" s="881" t="str">
        <f>IFERROR(INDEX(Reference!$AQ$14:$AQ$17,MATCH(D31,EngDDSource,0)),"")</f>
        <v/>
      </c>
      <c r="F31" s="865"/>
      <c r="G31" s="139"/>
      <c r="H31" s="387"/>
      <c r="I31" s="387"/>
      <c r="J31" s="387"/>
      <c r="K31" s="387"/>
      <c r="L31" s="387"/>
      <c r="M31" s="387"/>
      <c r="N31" s="387"/>
    </row>
    <row r="32" spans="1:14" x14ac:dyDescent="0.2">
      <c r="A32" s="334" t="s">
        <v>248</v>
      </c>
      <c r="B32" s="153"/>
      <c r="C32" s="392" t="s">
        <v>246</v>
      </c>
      <c r="D32" s="355"/>
      <c r="E32" s="881" t="str">
        <f>IFERROR(INDEX(Reference!$AQ$14:$AQ$17,MATCH(D32,EngDDSource,0)),"")</f>
        <v/>
      </c>
      <c r="F32" s="865"/>
      <c r="G32" s="139"/>
      <c r="H32" s="387"/>
      <c r="I32" s="387"/>
      <c r="J32" s="387"/>
      <c r="K32" s="387"/>
      <c r="L32" s="387"/>
      <c r="M32" s="387"/>
      <c r="N32" s="387"/>
    </row>
    <row r="33" spans="1:13" x14ac:dyDescent="0.2">
      <c r="A33" s="334" t="s">
        <v>249</v>
      </c>
      <c r="B33" s="153"/>
      <c r="C33" s="392" t="s">
        <v>246</v>
      </c>
      <c r="D33" s="355"/>
      <c r="E33" s="881" t="str">
        <f>IFERROR(INDEX(Reference!$AQ$14:$AQ$17,MATCH(D33,EngDDSource,0)),"")</f>
        <v/>
      </c>
      <c r="F33" s="865"/>
      <c r="G33" s="139"/>
      <c r="H33" s="387"/>
      <c r="I33" s="387"/>
      <c r="J33" s="387"/>
      <c r="K33" s="387"/>
      <c r="L33" s="387"/>
      <c r="M33" s="387"/>
    </row>
    <row r="34" spans="1:13" x14ac:dyDescent="0.2">
      <c r="A34" s="334" t="s">
        <v>250</v>
      </c>
      <c r="B34" s="153"/>
      <c r="C34" s="392" t="s">
        <v>246</v>
      </c>
      <c r="D34" s="355"/>
      <c r="E34" s="881" t="str">
        <f>IFERROR(INDEX(Reference!$AQ$14:$AQ$17,MATCH(D34,EngDDSource,0)),"")</f>
        <v/>
      </c>
      <c r="F34" s="865"/>
      <c r="G34" s="139"/>
      <c r="H34" s="387"/>
      <c r="I34" s="387"/>
      <c r="J34" s="387"/>
      <c r="K34" s="387"/>
      <c r="L34" s="387"/>
      <c r="M34" s="387"/>
    </row>
    <row r="35" spans="1:13" x14ac:dyDescent="0.2">
      <c r="A35" s="334" t="s">
        <v>251</v>
      </c>
      <c r="B35" s="404"/>
      <c r="C35" s="392" t="s">
        <v>246</v>
      </c>
      <c r="D35" s="355"/>
      <c r="E35" s="881" t="str">
        <f>IFERROR(INDEX(Reference!$AQ$14:$AQ$17,MATCH(D35,EngDDSource,0)),"")</f>
        <v/>
      </c>
      <c r="F35" s="865"/>
      <c r="G35" s="139"/>
      <c r="H35" s="387"/>
      <c r="I35" s="387"/>
      <c r="J35" s="387"/>
      <c r="K35" s="387"/>
      <c r="L35" s="387"/>
      <c r="M35" s="387"/>
    </row>
    <row r="36" spans="1:13" ht="33.75" customHeight="1" x14ac:dyDescent="0.2">
      <c r="A36" s="334" t="s">
        <v>252</v>
      </c>
      <c r="B36" s="155" t="s">
        <v>855</v>
      </c>
      <c r="C36" s="392" t="s">
        <v>855</v>
      </c>
      <c r="D36" s="356" t="s">
        <v>253</v>
      </c>
      <c r="E36" s="881" t="s">
        <v>254</v>
      </c>
      <c r="F36" s="865"/>
      <c r="G36" s="139"/>
      <c r="H36" s="387"/>
      <c r="I36" s="387"/>
      <c r="J36" s="387"/>
      <c r="K36" s="387"/>
      <c r="L36" s="387"/>
      <c r="M36" s="387"/>
    </row>
    <row r="37" spans="1:13" ht="33.75" customHeight="1" x14ac:dyDescent="0.2">
      <c r="A37" s="334" t="s">
        <v>255</v>
      </c>
      <c r="B37" s="155" t="s">
        <v>855</v>
      </c>
      <c r="C37" s="392" t="s">
        <v>855</v>
      </c>
      <c r="D37" s="356" t="s">
        <v>253</v>
      </c>
      <c r="E37" s="881" t="s">
        <v>256</v>
      </c>
      <c r="F37" s="865"/>
      <c r="G37" s="139"/>
      <c r="H37" s="387"/>
      <c r="I37" s="387"/>
      <c r="J37" s="387"/>
      <c r="K37" s="387"/>
      <c r="L37" s="387"/>
      <c r="M37" s="387"/>
    </row>
    <row r="38" spans="1:13" ht="33.75" customHeight="1" thickBot="1" x14ac:dyDescent="0.25">
      <c r="A38" s="337" t="s">
        <v>257</v>
      </c>
      <c r="B38" s="341" t="s">
        <v>855</v>
      </c>
      <c r="C38" s="341" t="s">
        <v>855</v>
      </c>
      <c r="D38" s="358" t="s">
        <v>253</v>
      </c>
      <c r="E38" s="876" t="s">
        <v>258</v>
      </c>
      <c r="F38" s="877"/>
      <c r="G38" s="139"/>
      <c r="H38" s="387"/>
      <c r="I38" s="387" t="b">
        <f>$I$24</f>
        <v>0</v>
      </c>
      <c r="J38" s="387"/>
      <c r="K38" s="387"/>
      <c r="L38" s="387"/>
      <c r="M38" s="387"/>
    </row>
    <row r="39" spans="1:13" ht="15" customHeight="1" thickBot="1" x14ac:dyDescent="0.25">
      <c r="A39" s="403"/>
      <c r="B39" s="389"/>
      <c r="C39" s="389"/>
      <c r="D39" s="389"/>
      <c r="E39" s="387"/>
      <c r="F39" s="387"/>
      <c r="G39" s="139"/>
      <c r="H39" s="387"/>
      <c r="I39" s="387"/>
      <c r="J39" s="387"/>
      <c r="K39" s="387"/>
      <c r="L39" s="387"/>
      <c r="M39" s="387"/>
    </row>
    <row r="40" spans="1:13" ht="17.100000000000001" customHeight="1" thickBot="1" x14ac:dyDescent="0.25">
      <c r="A40" s="160" t="s">
        <v>259</v>
      </c>
      <c r="B40" s="161"/>
      <c r="C40" s="161"/>
      <c r="D40" s="161"/>
      <c r="E40" s="161"/>
      <c r="F40" s="286"/>
      <c r="G40" s="139"/>
      <c r="H40" s="387"/>
      <c r="I40" s="387"/>
      <c r="J40" s="387"/>
      <c r="K40" s="387"/>
      <c r="L40" s="387"/>
      <c r="M40" s="387"/>
    </row>
    <row r="41" spans="1:13" ht="46.5" customHeight="1" x14ac:dyDescent="0.2">
      <c r="A41" s="733" t="s">
        <v>260</v>
      </c>
      <c r="B41" s="842"/>
      <c r="C41" s="842"/>
      <c r="D41" s="842"/>
      <c r="E41" s="842"/>
      <c r="F41" s="868"/>
      <c r="G41" s="139"/>
      <c r="H41" s="387"/>
      <c r="I41" s="387"/>
      <c r="J41" s="387"/>
      <c r="K41" s="387"/>
      <c r="L41" s="387"/>
      <c r="M41" s="387"/>
    </row>
    <row r="42" spans="1:13" ht="49.5" customHeight="1" x14ac:dyDescent="0.2">
      <c r="A42" s="225" t="s">
        <v>240</v>
      </c>
      <c r="B42" s="221" t="s">
        <v>261</v>
      </c>
      <c r="C42" s="221" t="s">
        <v>262</v>
      </c>
      <c r="D42" s="221" t="s">
        <v>263</v>
      </c>
      <c r="E42" s="222" t="s">
        <v>264</v>
      </c>
      <c r="F42" s="343"/>
      <c r="G42" s="139"/>
      <c r="H42" s="387"/>
      <c r="I42" s="387"/>
      <c r="J42" s="387"/>
      <c r="K42" s="387"/>
      <c r="L42" s="387"/>
      <c r="M42" s="387"/>
    </row>
    <row r="43" spans="1:13" ht="15" customHeight="1" x14ac:dyDescent="0.2">
      <c r="A43" s="405" t="s">
        <v>245</v>
      </c>
      <c r="B43" s="406">
        <f t="shared" ref="B43:B48" si="0">$B$18*B30/453.6</f>
        <v>0</v>
      </c>
      <c r="C43" s="407">
        <v>1.85</v>
      </c>
      <c r="D43" s="406">
        <f t="shared" ref="D43:D51" si="1">B43*$B$25/2000</f>
        <v>0</v>
      </c>
      <c r="E43" s="393">
        <v>0.27750000000000002</v>
      </c>
      <c r="F43" s="390"/>
      <c r="G43" s="139"/>
      <c r="H43" s="387"/>
      <c r="I43" s="387"/>
      <c r="J43" s="387" t="b">
        <f>$B43&gt;$C43</f>
        <v>0</v>
      </c>
      <c r="K43" s="387"/>
      <c r="L43" s="387" t="b">
        <f>$D43&gt;$E43</f>
        <v>0</v>
      </c>
      <c r="M43" s="387"/>
    </row>
    <row r="44" spans="1:13" ht="15" customHeight="1" x14ac:dyDescent="0.2">
      <c r="A44" s="405" t="s">
        <v>247</v>
      </c>
      <c r="B44" s="406">
        <f t="shared" si="0"/>
        <v>0</v>
      </c>
      <c r="C44" s="407">
        <v>5.43</v>
      </c>
      <c r="D44" s="406">
        <f t="shared" si="1"/>
        <v>0</v>
      </c>
      <c r="E44" s="393" t="s">
        <v>855</v>
      </c>
      <c r="F44" s="390"/>
      <c r="G44" s="139"/>
      <c r="H44" s="387"/>
      <c r="I44" s="387"/>
      <c r="J44" s="387" t="b">
        <f t="shared" ref="J44:J51" si="2">$B44&gt;$C44</f>
        <v>0</v>
      </c>
      <c r="K44" s="387"/>
      <c r="L44" s="387"/>
      <c r="M44" s="387"/>
    </row>
    <row r="45" spans="1:13" ht="15" customHeight="1" x14ac:dyDescent="0.2">
      <c r="A45" s="405" t="s">
        <v>248</v>
      </c>
      <c r="B45" s="406">
        <f t="shared" si="0"/>
        <v>0</v>
      </c>
      <c r="C45" s="392" t="s">
        <v>855</v>
      </c>
      <c r="D45" s="406">
        <f t="shared" si="1"/>
        <v>0</v>
      </c>
      <c r="E45" s="393" t="s">
        <v>855</v>
      </c>
      <c r="F45" s="390"/>
      <c r="G45" s="139"/>
      <c r="H45" s="387"/>
      <c r="I45" s="387"/>
      <c r="J45" s="387"/>
      <c r="K45" s="387"/>
      <c r="L45" s="387"/>
      <c r="M45" s="387"/>
    </row>
    <row r="46" spans="1:13" ht="15" customHeight="1" x14ac:dyDescent="0.2">
      <c r="A46" s="405" t="s">
        <v>249</v>
      </c>
      <c r="B46" s="406">
        <f t="shared" si="0"/>
        <v>0</v>
      </c>
      <c r="C46" s="408">
        <v>2.1999999999999999E-2</v>
      </c>
      <c r="D46" s="406">
        <f t="shared" si="1"/>
        <v>0</v>
      </c>
      <c r="E46" s="393" t="s">
        <v>855</v>
      </c>
      <c r="F46" s="390"/>
      <c r="G46" s="139"/>
      <c r="H46" s="387"/>
      <c r="I46" s="387"/>
      <c r="J46" s="387" t="b">
        <f t="shared" si="2"/>
        <v>0</v>
      </c>
      <c r="K46" s="387"/>
      <c r="L46" s="387"/>
      <c r="M46" s="387"/>
    </row>
    <row r="47" spans="1:13" ht="15" customHeight="1" x14ac:dyDescent="0.2">
      <c r="A47" s="405" t="s">
        <v>250</v>
      </c>
      <c r="B47" s="406">
        <f t="shared" si="0"/>
        <v>0</v>
      </c>
      <c r="C47" s="408">
        <v>2.1999999999999999E-2</v>
      </c>
      <c r="D47" s="406">
        <f t="shared" si="1"/>
        <v>0</v>
      </c>
      <c r="E47" s="393">
        <v>3.3999999999999998E-3</v>
      </c>
      <c r="F47" s="390"/>
      <c r="G47" s="139"/>
      <c r="H47" s="387"/>
      <c r="I47" s="387"/>
      <c r="J47" s="387" t="b">
        <f t="shared" si="2"/>
        <v>0</v>
      </c>
      <c r="K47" s="387"/>
      <c r="L47" s="387" t="b">
        <f t="shared" ref="L47:L51" si="3">$D47&gt;$E47</f>
        <v>0</v>
      </c>
      <c r="M47" s="387"/>
    </row>
    <row r="48" spans="1:13" ht="15" customHeight="1" x14ac:dyDescent="0.2">
      <c r="A48" s="405" t="s">
        <v>251</v>
      </c>
      <c r="B48" s="406">
        <f t="shared" si="0"/>
        <v>0</v>
      </c>
      <c r="C48" s="392" t="s">
        <v>855</v>
      </c>
      <c r="D48" s="406">
        <f t="shared" si="1"/>
        <v>0</v>
      </c>
      <c r="E48" s="393" t="s">
        <v>855</v>
      </c>
      <c r="F48" s="390"/>
      <c r="G48" s="139"/>
      <c r="H48" s="387"/>
      <c r="I48" s="387"/>
      <c r="J48" s="387"/>
      <c r="K48" s="387"/>
      <c r="L48" s="387"/>
      <c r="M48" s="387"/>
    </row>
    <row r="49" spans="1:13" ht="15" customHeight="1" x14ac:dyDescent="0.2">
      <c r="A49" s="405" t="s">
        <v>252</v>
      </c>
      <c r="B49" s="406">
        <f>$B$19*7.05*$B$18*($B$20/1000000)*(64/32)</f>
        <v>0</v>
      </c>
      <c r="C49" s="408">
        <v>5.8999999999999997E-2</v>
      </c>
      <c r="D49" s="406">
        <f t="shared" si="1"/>
        <v>0</v>
      </c>
      <c r="E49" s="393">
        <v>8.8000000000000005E-3</v>
      </c>
      <c r="F49" s="390"/>
      <c r="G49" s="139"/>
      <c r="H49" s="387"/>
      <c r="I49" s="387"/>
      <c r="J49" s="387" t="b">
        <f t="shared" si="2"/>
        <v>0</v>
      </c>
      <c r="K49" s="387"/>
      <c r="L49" s="387" t="b">
        <f t="shared" si="3"/>
        <v>0</v>
      </c>
      <c r="M49" s="387"/>
    </row>
    <row r="50" spans="1:13" ht="15" customHeight="1" x14ac:dyDescent="0.2">
      <c r="A50" s="405" t="s">
        <v>255</v>
      </c>
      <c r="B50" s="406">
        <f>$B$49*(1/64.06)*(0.1/1)*98.07</f>
        <v>0</v>
      </c>
      <c r="C50" s="409">
        <v>5.7000000000000002E-3</v>
      </c>
      <c r="D50" s="406">
        <f t="shared" si="1"/>
        <v>0</v>
      </c>
      <c r="E50" s="393" t="s">
        <v>855</v>
      </c>
      <c r="F50" s="390"/>
      <c r="G50" s="139"/>
      <c r="H50" s="387"/>
      <c r="I50" s="387"/>
      <c r="J50" s="387" t="b">
        <f t="shared" si="2"/>
        <v>0</v>
      </c>
      <c r="K50" s="387"/>
      <c r="L50" s="387"/>
      <c r="M50" s="387"/>
    </row>
    <row r="51" spans="1:13" ht="15" customHeight="1" x14ac:dyDescent="0.2">
      <c r="A51" s="410" t="s">
        <v>257</v>
      </c>
      <c r="B51" s="619">
        <f>IF(B21="no",0,$B$24*(17/379)*$B$26*(60/1000000))</f>
        <v>0</v>
      </c>
      <c r="C51" s="226">
        <v>0.129</v>
      </c>
      <c r="D51" s="621">
        <f t="shared" si="1"/>
        <v>0</v>
      </c>
      <c r="E51" s="412">
        <v>1.9300000000000001E-2</v>
      </c>
      <c r="F51" s="390"/>
      <c r="G51" s="139"/>
      <c r="H51" s="387"/>
      <c r="I51" s="387" t="b">
        <f>$I$24</f>
        <v>0</v>
      </c>
      <c r="J51" s="387" t="b">
        <f t="shared" si="2"/>
        <v>0</v>
      </c>
      <c r="K51" s="387"/>
      <c r="L51" s="387" t="b">
        <f t="shared" si="3"/>
        <v>0</v>
      </c>
      <c r="M51" s="387"/>
    </row>
    <row r="52" spans="1:13" ht="90.75" customHeight="1" thickBot="1" x14ac:dyDescent="0.25">
      <c r="A52" s="878" t="s">
        <v>265</v>
      </c>
      <c r="B52" s="844"/>
      <c r="C52" s="844"/>
      <c r="D52" s="844"/>
      <c r="E52" s="844"/>
      <c r="F52" s="879"/>
      <c r="G52" s="139"/>
      <c r="H52" s="387"/>
      <c r="I52" s="387"/>
      <c r="J52" s="387"/>
      <c r="K52" s="387"/>
      <c r="L52" s="387"/>
      <c r="M52" s="387"/>
    </row>
    <row r="53" spans="1:13" ht="15" customHeight="1" thickBot="1" x14ac:dyDescent="0.25">
      <c r="A53" s="316"/>
      <c r="B53" s="154"/>
      <c r="C53" s="154"/>
      <c r="D53" s="154"/>
      <c r="E53" s="154"/>
      <c r="F53" s="154"/>
      <c r="G53" s="139"/>
      <c r="H53" s="387"/>
      <c r="I53" s="387"/>
      <c r="J53" s="387"/>
      <c r="K53" s="387"/>
      <c r="L53" s="387"/>
      <c r="M53" s="387"/>
    </row>
    <row r="54" spans="1:13" ht="17.100000000000001" customHeight="1" thickBot="1" x14ac:dyDescent="0.25">
      <c r="A54" s="194" t="s">
        <v>266</v>
      </c>
      <c r="B54" s="195"/>
      <c r="C54" s="195"/>
      <c r="D54" s="195"/>
      <c r="E54" s="195"/>
      <c r="F54" s="286"/>
      <c r="G54" s="139"/>
      <c r="H54" s="387"/>
      <c r="I54" s="387"/>
      <c r="J54" s="387"/>
      <c r="K54" s="387"/>
      <c r="L54" s="387"/>
      <c r="M54" s="387"/>
    </row>
    <row r="55" spans="1:13" ht="20.100000000000001" customHeight="1" thickBot="1" x14ac:dyDescent="0.25">
      <c r="A55" s="413" t="s">
        <v>267</v>
      </c>
      <c r="B55" s="414"/>
      <c r="C55" s="414"/>
      <c r="D55" s="414"/>
      <c r="E55" s="414"/>
      <c r="F55" s="415"/>
      <c r="G55" s="139"/>
      <c r="H55" s="387"/>
      <c r="I55" s="387"/>
      <c r="J55" s="387"/>
      <c r="K55" s="387"/>
      <c r="L55" s="387"/>
      <c r="M55" s="387"/>
    </row>
    <row r="56" spans="1:13" ht="20.100000000000001" customHeight="1" x14ac:dyDescent="0.2">
      <c r="A56" s="204" t="s">
        <v>268</v>
      </c>
      <c r="B56" s="201"/>
      <c r="C56" s="201"/>
      <c r="D56" s="201"/>
      <c r="E56" s="201"/>
      <c r="F56" s="352"/>
      <c r="G56" s="139"/>
      <c r="H56" s="387"/>
      <c r="I56" s="387"/>
      <c r="J56" s="387"/>
      <c r="K56" s="387"/>
      <c r="L56" s="387"/>
      <c r="M56" s="387"/>
    </row>
    <row r="57" spans="1:13" customFormat="1" ht="20.100000000000001" customHeight="1" x14ac:dyDescent="0.2">
      <c r="A57" s="90" t="str">
        <f>"("&amp;TEXT($B$18,"#,##0")&amp;" hp × "&amp;$B$30&amp;" g/hp-hr)"&amp;" ÷ 453.6 lb/g = "&amp;TEXT(($B$18*B30)/453.6,"#,##0.00##")&amp;" lb/hr"</f>
        <v>(0 hp ×  g/hp-hr) ÷ 453.6 lb/g = 0.00 lb/hr</v>
      </c>
      <c r="B57" s="91"/>
      <c r="C57" s="91"/>
      <c r="D57" s="91"/>
      <c r="E57" s="91"/>
      <c r="F57" s="91"/>
      <c r="G57" s="193"/>
    </row>
    <row r="58" spans="1:13" ht="20.100000000000001" customHeight="1" x14ac:dyDescent="0.2">
      <c r="A58" s="205" t="s">
        <v>269</v>
      </c>
      <c r="B58" s="206"/>
      <c r="C58" s="206"/>
      <c r="D58" s="206"/>
      <c r="E58" s="206"/>
      <c r="F58" s="354"/>
      <c r="G58" s="139"/>
      <c r="H58" s="387"/>
      <c r="I58" s="387"/>
      <c r="J58" s="387"/>
      <c r="K58" s="387"/>
      <c r="L58" s="387"/>
      <c r="M58" s="387"/>
    </row>
    <row r="59" spans="1:13" customFormat="1" ht="20.100000000000001" customHeight="1" x14ac:dyDescent="0.2">
      <c r="A59" s="869" t="str">
        <f>"("&amp;TEXT(B19,"#,##0")&amp;" gal diesel/hp-hr × 7.05 lb diesel/gal diesel × "&amp;TEXT($B$18,"#,##0")&amp;" hp)"&amp;" × ("&amp;$B$20&amp;" lb S ÷ 1,000,000 lb diesel)"&amp;" × (64 lb SO2 ÷ 32 lb S) = "&amp;TEXT($B$19*7.05*$B$18*($B$20/1000000)*(64/32),"#,##0.00##")&amp;" lb/hr"</f>
        <v>(0 gal diesel/hp-hr × 7.05 lb diesel/gal diesel × 0 hp) × ( lb S ÷ 1,000,000 lb diesel) × (64 lb SO2 ÷ 32 lb S) = 0.00 lb/hr</v>
      </c>
      <c r="B59" s="870"/>
      <c r="C59" s="870"/>
      <c r="D59" s="870"/>
      <c r="E59" s="870"/>
      <c r="F59" s="871"/>
      <c r="G59" s="193"/>
    </row>
    <row r="60" spans="1:13" ht="20.100000000000001" customHeight="1" x14ac:dyDescent="0.2">
      <c r="A60" s="353" t="s">
        <v>270</v>
      </c>
      <c r="B60" s="271"/>
      <c r="C60" s="271"/>
      <c r="D60" s="271"/>
      <c r="E60" s="271"/>
      <c r="F60" s="271"/>
      <c r="G60" s="139"/>
      <c r="H60" s="387"/>
      <c r="I60" s="387"/>
      <c r="J60" s="387"/>
      <c r="K60" s="387"/>
      <c r="L60" s="387"/>
      <c r="M60" s="387"/>
    </row>
    <row r="61" spans="1:13" customFormat="1" ht="30" customHeight="1" x14ac:dyDescent="0.2">
      <c r="A61" s="707" t="str">
        <f>"("&amp;TEXT($B$49,"#,##0.00")&amp;" lb/hr) × (1 lb mol SO2 ÷ 64.06 lb SO2) × (0.1 lb mol SO3 ÷ 1 lb mol SO2) × (1 lb mol H2SO4 ÷ 1 lb mol SO3) × (98.07 lb H2SO4 ÷ 1 lb mol H2SO4) = "&amp;TEXT($B$49*(1/64.06)*(0.1/1)*98.07,"#,##0.00##")&amp;" lb/hr"</f>
        <v>(0.00 lb/hr) × (1 lb mol SO2 ÷ 64.06 lb SO2) × (0.1 lb mol SO3 ÷ 1 lb mol SO2) × (1 lb mol H2SO4 ÷ 1 lb mol SO3) × (98.07 lb H2SO4 ÷ 1 lb mol H2SO4) = 0.00 lb/hr</v>
      </c>
      <c r="B61" s="859"/>
      <c r="C61" s="859"/>
      <c r="D61" s="859"/>
      <c r="E61" s="859"/>
      <c r="F61" s="860"/>
      <c r="G61" s="193"/>
    </row>
    <row r="62" spans="1:13" ht="20.100000000000001" customHeight="1" x14ac:dyDescent="0.2">
      <c r="A62" s="90" t="s">
        <v>271</v>
      </c>
      <c r="B62" s="415"/>
      <c r="C62" s="415"/>
      <c r="D62" s="415"/>
      <c r="E62" s="415"/>
      <c r="F62" s="415"/>
      <c r="G62" s="139"/>
      <c r="H62" s="387"/>
      <c r="I62" s="387"/>
      <c r="J62" s="387"/>
      <c r="K62" s="387"/>
      <c r="L62" s="387"/>
      <c r="M62" s="387"/>
    </row>
    <row r="63" spans="1:13" ht="20.100000000000001" customHeight="1" x14ac:dyDescent="0.2">
      <c r="A63" s="205" t="s">
        <v>272</v>
      </c>
      <c r="B63" s="206"/>
      <c r="C63" s="206"/>
      <c r="D63" s="206"/>
      <c r="E63" s="206"/>
      <c r="F63" s="354"/>
      <c r="G63" s="139"/>
      <c r="H63" s="387"/>
      <c r="I63" s="387" t="b">
        <f>$I$24</f>
        <v>0</v>
      </c>
      <c r="J63" s="387"/>
      <c r="K63" s="387"/>
      <c r="L63" s="387"/>
      <c r="M63" s="387"/>
    </row>
    <row r="64" spans="1:13" customFormat="1" ht="20.100000000000001" customHeight="1" x14ac:dyDescent="0.2">
      <c r="A64" s="869" t="str">
        <f>"("&amp;TEXT($B$24,"#,##0.00")&amp;" ppm NH3 × 17 lb NH3/lb-mol × "&amp;TEXT($B$26,"#,##0.00")&amp;" scf/min × 60 min/hr) ÷ (379.00 dscf/lb-mol × 1000000) = "&amp;TEXT($B$24*(17/379)*$B$26*(60/1000000),"#,##0.00##")&amp;" lb/hr"</f>
        <v>(0.00 ppm NH3 × 17 lb NH3/lb-mol × 0.00 scf/min × 60 min/hr) ÷ (379.00 dscf/lb-mol × 1000000) = 0.00 lb/hr</v>
      </c>
      <c r="B64" s="870"/>
      <c r="C64" s="870"/>
      <c r="D64" s="870"/>
      <c r="E64" s="870"/>
      <c r="F64" s="871"/>
      <c r="G64" s="193"/>
      <c r="I64" t="b">
        <f>$I$24</f>
        <v>0</v>
      </c>
    </row>
    <row r="65" spans="1:13" ht="20.100000000000001" customHeight="1" x14ac:dyDescent="0.2">
      <c r="A65" s="353" t="s">
        <v>273</v>
      </c>
      <c r="B65" s="271"/>
      <c r="C65" s="271"/>
      <c r="D65" s="271"/>
      <c r="E65" s="271"/>
      <c r="F65" s="271"/>
      <c r="G65" s="139"/>
      <c r="H65" s="387"/>
      <c r="I65" s="387"/>
      <c r="J65" s="387"/>
      <c r="K65" s="387"/>
      <c r="L65" s="387"/>
      <c r="M65" s="387"/>
    </row>
    <row r="66" spans="1:13" customFormat="1" ht="20.100000000000001" customHeight="1" thickBot="1" x14ac:dyDescent="0.25">
      <c r="A66" s="207" t="str">
        <f>"("&amp;TEXT($B$43,"#,##0.00")&amp;" lb/hr × "&amp;$B$25&amp;" hr/yr)"&amp;" ÷  2000 lb/ton = "&amp;TEXT(($B$43*$B$25)/2000,"#,##0.00##")&amp;" tpy"</f>
        <v>(0.00 lb/hr ×  hr/yr) ÷  2000 lb/ton = 0.00 tpy</v>
      </c>
      <c r="B66" s="208"/>
      <c r="C66" s="208"/>
      <c r="D66" s="208"/>
      <c r="E66" s="208"/>
      <c r="F66" s="208"/>
      <c r="G66" s="143"/>
    </row>
    <row r="67" spans="1:13" ht="8.4499999999999993" customHeight="1" x14ac:dyDescent="0.2">
      <c r="A67" s="313"/>
      <c r="B67" s="164"/>
      <c r="C67" s="164"/>
      <c r="D67" s="164"/>
      <c r="E67" s="164"/>
      <c r="F67" s="164"/>
      <c r="G67" s="164"/>
      <c r="H67" s="387"/>
      <c r="I67" s="387"/>
      <c r="J67" s="387"/>
      <c r="K67" s="387"/>
      <c r="L67" s="387"/>
      <c r="M67" s="387"/>
    </row>
    <row r="68" spans="1:13" x14ac:dyDescent="0.2">
      <c r="A68" s="812" t="str">
        <f t="shared" ref="A68" si="4">HYPERLINK("#Sheet_Eng10","End of sheet. Click here to move to the next sheet.")</f>
        <v>End of sheet. Click here to move to the next sheet.</v>
      </c>
      <c r="B68" s="858"/>
      <c r="C68" s="858"/>
      <c r="D68" s="858"/>
      <c r="E68" s="858"/>
      <c r="F68" s="858"/>
      <c r="G68" s="146"/>
      <c r="H68" s="387"/>
      <c r="I68" s="387"/>
      <c r="J68" s="387"/>
      <c r="K68" s="387"/>
      <c r="L68" s="387"/>
      <c r="M68" s="387"/>
    </row>
    <row r="69" spans="1:13" ht="8.4499999999999993" hidden="1" customHeight="1" x14ac:dyDescent="0.2">
      <c r="A69" s="85"/>
      <c r="B69" s="85"/>
      <c r="C69" s="85"/>
      <c r="D69" s="85"/>
      <c r="E69" s="85"/>
      <c r="F69" s="85"/>
      <c r="G69" s="85"/>
      <c r="H69" s="387"/>
      <c r="I69" s="387"/>
      <c r="J69" s="387"/>
      <c r="K69" s="387"/>
      <c r="L69" s="387"/>
      <c r="M69" s="387"/>
    </row>
    <row r="70" spans="1:13" hidden="1" x14ac:dyDescent="0.2">
      <c r="A70" s="387"/>
      <c r="B70" s="387"/>
      <c r="C70" s="387"/>
      <c r="D70" s="387"/>
      <c r="E70" s="387"/>
      <c r="F70" s="387"/>
      <c r="G70" s="387"/>
      <c r="H70" s="387"/>
      <c r="I70" s="387"/>
      <c r="J70" s="387"/>
      <c r="K70" s="387"/>
      <c r="L70" s="387"/>
      <c r="M70" s="387"/>
    </row>
    <row r="71" spans="1:13" hidden="1" x14ac:dyDescent="0.2">
      <c r="A71" s="387"/>
      <c r="B71" s="387"/>
      <c r="C71" s="387"/>
      <c r="D71" s="387"/>
      <c r="E71" s="387"/>
      <c r="F71" s="387"/>
      <c r="G71" s="387"/>
      <c r="H71" s="387"/>
      <c r="I71" s="387"/>
      <c r="J71" s="387"/>
      <c r="K71" s="387"/>
      <c r="L71" s="387"/>
      <c r="M71" s="387"/>
    </row>
    <row r="72" spans="1:13" hidden="1" x14ac:dyDescent="0.2">
      <c r="A72" s="387"/>
      <c r="B72" s="387"/>
      <c r="C72" s="387"/>
      <c r="D72" s="387"/>
      <c r="E72" s="387"/>
      <c r="F72" s="387"/>
      <c r="G72" s="387"/>
      <c r="H72" s="387"/>
      <c r="I72" s="387"/>
      <c r="J72" s="387"/>
      <c r="K72" s="387"/>
      <c r="L72" s="387"/>
      <c r="M72" s="387"/>
    </row>
    <row r="73" spans="1:13" hidden="1" x14ac:dyDescent="0.2">
      <c r="A73" s="387"/>
      <c r="B73" s="387"/>
      <c r="C73" s="387"/>
      <c r="D73" s="387"/>
      <c r="E73" s="387"/>
      <c r="F73" s="387"/>
      <c r="G73" s="387"/>
      <c r="H73" s="387"/>
      <c r="I73" s="387"/>
      <c r="J73" s="387"/>
      <c r="K73" s="387"/>
      <c r="L73" s="387"/>
      <c r="M73" s="387"/>
    </row>
    <row r="74" spans="1:13" hidden="1" x14ac:dyDescent="0.2">
      <c r="A74" s="387"/>
      <c r="B74" s="387"/>
      <c r="C74" s="387"/>
      <c r="D74" s="387"/>
      <c r="E74" s="387"/>
      <c r="F74" s="387"/>
      <c r="G74" s="387"/>
      <c r="H74" s="387"/>
      <c r="I74" s="387"/>
      <c r="J74" s="387"/>
      <c r="K74" s="387"/>
      <c r="L74" s="387"/>
      <c r="M74" s="387"/>
    </row>
    <row r="75" spans="1:13" hidden="1" x14ac:dyDescent="0.2">
      <c r="A75" s="387"/>
      <c r="B75" s="387"/>
      <c r="C75" s="387"/>
      <c r="D75" s="387"/>
      <c r="E75" s="387"/>
      <c r="F75" s="387"/>
      <c r="G75" s="387"/>
      <c r="H75" s="387"/>
      <c r="I75" s="387"/>
      <c r="J75" s="387"/>
      <c r="K75" s="387"/>
      <c r="L75" s="387"/>
      <c r="M75" s="387"/>
    </row>
    <row r="76" spans="1:13" hidden="1" x14ac:dyDescent="0.2">
      <c r="A76" s="387"/>
      <c r="B76" s="387"/>
      <c r="C76" s="387"/>
      <c r="D76" s="387"/>
      <c r="E76" s="387"/>
      <c r="F76" s="387"/>
      <c r="G76" s="387"/>
      <c r="H76" s="387"/>
      <c r="I76" s="387"/>
      <c r="J76" s="387"/>
      <c r="K76" s="387"/>
      <c r="L76" s="387"/>
      <c r="M76" s="387"/>
    </row>
    <row r="77" spans="1:13" hidden="1" x14ac:dyDescent="0.2">
      <c r="A77" s="387"/>
      <c r="B77" s="387"/>
      <c r="C77" s="387"/>
      <c r="D77" s="387"/>
      <c r="E77" s="387"/>
      <c r="F77" s="387"/>
      <c r="G77" s="387"/>
      <c r="H77" s="387"/>
      <c r="I77" s="387"/>
      <c r="J77" s="387"/>
      <c r="K77" s="387"/>
      <c r="L77" s="387"/>
      <c r="M77" s="387"/>
    </row>
    <row r="78" spans="1:13" hidden="1" x14ac:dyDescent="0.2">
      <c r="A78" s="387"/>
      <c r="B78" s="387"/>
      <c r="C78" s="387"/>
      <c r="D78" s="387"/>
      <c r="E78" s="387"/>
      <c r="F78" s="387"/>
      <c r="G78" s="387"/>
      <c r="H78" s="387"/>
      <c r="I78" s="387"/>
      <c r="J78" s="387"/>
      <c r="K78" s="387"/>
      <c r="L78" s="387"/>
      <c r="M78" s="387"/>
    </row>
    <row r="79" spans="1:13" hidden="1" x14ac:dyDescent="0.2">
      <c r="A79" s="387"/>
      <c r="B79" s="387"/>
      <c r="C79" s="387"/>
      <c r="D79" s="387"/>
      <c r="E79" s="387"/>
      <c r="F79" s="387"/>
      <c r="G79" s="387"/>
      <c r="H79" s="387"/>
      <c r="I79" s="387"/>
      <c r="J79" s="387"/>
      <c r="K79" s="387"/>
      <c r="L79" s="387"/>
      <c r="M79" s="387"/>
    </row>
    <row r="80" spans="1:13" hidden="1" x14ac:dyDescent="0.2">
      <c r="A80" s="387"/>
      <c r="B80" s="387"/>
      <c r="C80" s="387"/>
      <c r="D80" s="387"/>
      <c r="E80" s="387"/>
      <c r="F80" s="387"/>
      <c r="G80" s="387"/>
      <c r="H80" s="387"/>
      <c r="I80" s="387"/>
      <c r="J80" s="387"/>
      <c r="K80" s="387"/>
      <c r="L80" s="387"/>
      <c r="M80" s="387"/>
    </row>
    <row r="81" spans="1:13" hidden="1" x14ac:dyDescent="0.2">
      <c r="A81" s="387"/>
      <c r="B81" s="387"/>
      <c r="C81" s="387"/>
      <c r="D81" s="387"/>
      <c r="E81" s="387"/>
      <c r="F81" s="387"/>
      <c r="G81" s="387"/>
      <c r="H81" s="387"/>
      <c r="I81" s="387"/>
      <c r="J81" s="387"/>
      <c r="K81" s="387"/>
      <c r="L81" s="387"/>
      <c r="M81" s="387"/>
    </row>
    <row r="82" spans="1:13" hidden="1" x14ac:dyDescent="0.2">
      <c r="A82" s="387"/>
      <c r="B82" s="387"/>
      <c r="C82" s="387"/>
      <c r="D82" s="387"/>
      <c r="E82" s="387"/>
      <c r="F82" s="387"/>
      <c r="G82" s="387"/>
      <c r="H82" s="387"/>
      <c r="I82" s="387"/>
      <c r="J82" s="387"/>
      <c r="K82" s="387"/>
      <c r="L82" s="387"/>
      <c r="M82" s="387"/>
    </row>
    <row r="83" spans="1:13" hidden="1" x14ac:dyDescent="0.2">
      <c r="A83" s="387"/>
      <c r="B83" s="387"/>
      <c r="C83" s="387"/>
      <c r="D83" s="387"/>
      <c r="E83" s="387"/>
      <c r="F83" s="387"/>
      <c r="G83" s="387"/>
      <c r="H83" s="387"/>
      <c r="I83" s="387"/>
      <c r="J83" s="387"/>
      <c r="K83" s="387"/>
      <c r="L83" s="387"/>
      <c r="M83" s="387"/>
    </row>
    <row r="84" spans="1:13" hidden="1" x14ac:dyDescent="0.2">
      <c r="A84" s="387"/>
      <c r="B84" s="387"/>
      <c r="C84" s="387"/>
      <c r="D84" s="387"/>
      <c r="E84" s="387"/>
      <c r="F84" s="387"/>
      <c r="G84" s="387"/>
      <c r="H84" s="387"/>
      <c r="I84" s="387"/>
      <c r="J84" s="387"/>
      <c r="K84" s="387"/>
      <c r="L84" s="387"/>
      <c r="M84" s="387"/>
    </row>
  </sheetData>
  <sheetProtection algorithmName="SHA-512" hashValue="IOvuXCYih7RFXIJk4YHrnIAvt9aUUw2IwxGkxN1Qo3iIfOsofQiuZHRYu/zS3FVJIL9AeoAKOrH7JL77WtYokg==" saltValue="0EErZsZlOBR970ryQuYdpw==" spinCount="100000" sheet="1" objects="1" scenarios="1" formatColumns="0" formatRows="0" autoFilter="0"/>
  <mergeCells count="18">
    <mergeCell ref="A59:F59"/>
    <mergeCell ref="A61:F61"/>
    <mergeCell ref="A64:F64"/>
    <mergeCell ref="A52:F52"/>
    <mergeCell ref="A68:F68"/>
    <mergeCell ref="A41:F41"/>
    <mergeCell ref="A1:F1"/>
    <mergeCell ref="A2:E2"/>
    <mergeCell ref="E36:F36"/>
    <mergeCell ref="E37:F37"/>
    <mergeCell ref="E38:F38"/>
    <mergeCell ref="E35:F35"/>
    <mergeCell ref="E34:F34"/>
    <mergeCell ref="E33:F33"/>
    <mergeCell ref="E32:F32"/>
    <mergeCell ref="E31:F31"/>
    <mergeCell ref="E30:F30"/>
    <mergeCell ref="E29:F29"/>
  </mergeCells>
  <conditionalFormatting sqref="A24:D24 A38:F38 A51:E51 A63:F64">
    <cfRule type="expression" dxfId="55" priority="2">
      <formula>$I24</formula>
    </cfRule>
  </conditionalFormatting>
  <conditionalFormatting sqref="A1:G66">
    <cfRule type="expression" dxfId="54" priority="1">
      <formula>$I$1</formula>
    </cfRule>
  </conditionalFormatting>
  <conditionalFormatting sqref="B43:D51">
    <cfRule type="expression" dxfId="53" priority="3">
      <formula>J43</formula>
    </cfRule>
  </conditionalFormatting>
  <dataValidations count="28">
    <dataValidation type="list" allowBlank="1" showErrorMessage="1" promptTitle="UTM Zone" prompt="Enter the UTM Coordinates zone for the EPN &quot;Engine1&quot;. In Texas, this must be 13, 14, or 15." sqref="B8" xr:uid="{8B836B01-8DF9-48FB-89F2-961819502693}">
      <formula1>"13,14,15"</formula1>
    </dataValidation>
    <dataValidation type="decimal" operator="lessThanOrEqual" allowBlank="1" showErrorMessage="1" promptTitle="Emission Factor" prompt="Enter the emission factor for volatile organic compounds (VOC), in grams per horsepower-hour. The pounds per hour (lb/hr) and tons per year (tpy) will automatically calculate in cells to the right." sqref="B35" xr:uid="{CA979668-CD37-4833-81E0-3ED7D134BCD5}">
      <formula1>100</formula1>
    </dataValidation>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9" xr:uid="{25354E63-086A-4BE6-B0AA-842050FF5E74}">
      <formula1>205000</formula1>
      <formula2>795000</formula2>
    </dataValidation>
    <dataValidation type="decimal" allowBlank="1" showErrorMessage="1" errorTitle="North (Meters)" error="Enter a value between 2854000 and 4059000 meters." promptTitle="UTM North" prompt="Enter the distance north of the zone datum for this EPN, in meters. This is a six-digit number between 2854000 and 4059000." sqref="B10" xr:uid="{0D9C5280-331C-46F1-B8B6-8938069757DB}">
      <formula1>2854000</formula1>
      <formula2>4059000</formula2>
    </dataValidation>
    <dataValidation operator="greaterThanOrEqual" allowBlank="1" showErrorMessage="1" errorTitle="Maximum Value Exceeded" error="Please enter a value for this parameter below the maximum value." promptTitle="Input Parameters" prompt="Enter the rated brake horsepower (BHP) in horsepower (hp). Note that this value must be less than __." sqref="B18" xr:uid="{69D5E487-18BC-49DC-80A6-958773EC9053}"/>
    <dataValidation type="decimal" operator="greaterThanOrEqual" allowBlank="1" showErrorMessage="1" errorTitle="Parameter Below Minimum Value" error="Please enter a value for this parameter that is larger than the minimum value." promptTitle="Input Parameters" prompt="Enter the release height of this EPN. This must be at least 25 feet." sqref="B14" xr:uid="{E54887CE-41B2-4A78-81B4-3FBBE433EF97}">
      <formula1>C14</formula1>
    </dataValidation>
    <dataValidation type="decimal" operator="greaterThanOrEqual" allowBlank="1" showErrorMessage="1" errorTitle="Parameter Below Minimum Value" error="Please enter a value for this parameter that is larger than the minimum value." promptTitle="Imput Parameters" prompt="Enter the stack diameter. With this permit, the stack must be at least 0.66 feet wide." sqref="B15" xr:uid="{E360F443-8CE1-450E-BB11-CAA35C0BEFEE}">
      <formula1>C15</formula1>
    </dataValidation>
    <dataValidation type="decimal" operator="greaterThanOrEqual" allowBlank="1" showErrorMessage="1" errorTitle="Parameter Below Minimum Value" error="Please enter a value for this parameter that is larger than the minimum value." promptTitle="Input Parameters" prompt="Enter the Temperature in degrees Fahrenheit for this EPN. Note that this must be at least 828 degrees." sqref="B16" xr:uid="{0274FB75-2F5B-4022-90C0-4AC79304A890}">
      <formula1>C16</formula1>
    </dataValidation>
    <dataValidation type="decimal" operator="greaterThanOrEqual" allowBlank="1" showErrorMessage="1" errorTitle="Parameter Below Minimum Value" error="Please enter a value for this parameter that is larger than the minimum value." promptTitle="Input Parameters" prompt="Enter the velocity of the emisions, in feet per second. Note that this value must be greater than 168.7 feet per second." sqref="B17" xr:uid="{DC4DAEF2-E046-4C33-A45A-B1EB85FD3A9F}">
      <formula1>C17</formula1>
    </dataValidation>
    <dataValidation type="decimal" operator="lessThanOrEqual" allowBlank="1" showErrorMessage="1" errorTitle="Maximum Value Exceeded" error="Please enter a value for this parameter below the maximum value." promptTitle="Input Parameters" prompt="Enter the annual operating schedule in total hours per year. Note that this value must be below 300 hours per year." sqref="B25" xr:uid="{681729A9-2899-4A57-AB32-784DEB4C811E}">
      <formula1>D25</formula1>
    </dataValidation>
    <dataValidation allowBlank="1" showErrorMessage="1" promptTitle="EPN" prompt="Input the Emission Point Number for the engine.  Limited to 10 ahlpanumeric characters." sqref="A1:E1" xr:uid="{7DC0128C-2F2A-4579-9002-6409CA26D6E6}"/>
    <dataValidation allowBlank="1" showErrorMessage="1" promptTitle="Source Name" prompt="Enter the Source Name for the engine." sqref="B7" xr:uid="{EF5916D1-B523-4979-93FD-55D21B5A39F4}"/>
    <dataValidation allowBlank="1" showErrorMessage="1" prompt="select source of emission factor" sqref="D36:D38" xr:uid="{77A777E8-4D65-4439-B5C0-C8D0057A3CB2}"/>
    <dataValidation type="decimal" operator="lessThanOrEqual" allowBlank="1" showErrorMessage="1" promptTitle="Emission Factor" prompt="Enter the emission factor for NOx, in grams per horsepower-hour. The pounds per hour (lb/hr) and tons per year (tpy) will automatically calculate in cells to the right." sqref="B30" xr:uid="{80C9972D-8544-460D-878A-D8A8A0188E4F}">
      <formula1>C43*453.6/$B$18</formula1>
    </dataValidation>
    <dataValidation type="decimal" operator="lessThanOrEqual" allowBlank="1" showErrorMessage="1" promptTitle="Emission Factor" prompt="Enter the emission factor for carbon monoxide, in grams per horsepower-hour. The pounds per hour (lb/hr) and tons per year (tpy) will automatically calculate in cells to the right." sqref="B31" xr:uid="{D7773AF8-2E3E-4D33-BA86-447D1E6AFE8B}">
      <formula1>C44*453.6/$B$18</formula1>
    </dataValidation>
    <dataValidation type="list" allowBlank="1" showInputMessage="1" showErrorMessage="1" sqref="D30:D35" xr:uid="{26F3D740-CF25-4D44-8C0D-E18902F93EF8}">
      <formula1>EngDDSource</formula1>
    </dataValidation>
    <dataValidation type="decimal" operator="lessThanOrEqual" allowBlank="1" showErrorMessage="1" promptTitle="Input Parameters" prompt="Enter the ammonia concentration in ppm." sqref="B24" xr:uid="{D7CBFB54-422A-4387-A72E-B3B84F33289F}">
      <formula1>10</formula1>
    </dataValidation>
    <dataValidation type="decimal" operator="lessThanOrEqual" allowBlank="1" showErrorMessage="1" promptTitle="Input Parameters" prompt="Enter the sulfur content of the diesel." sqref="B20" xr:uid="{BA1512D6-CE5D-482F-9BED-D3311CEE2231}">
      <formula1>15</formula1>
    </dataValidation>
    <dataValidation type="list" allowBlank="1" showErrorMessage="1" promptTitle="Input Parameters" prompt="Is there a diesel filter? Select or enter yes or no." sqref="B23" xr:uid="{1DA7B77C-29B0-4FC7-B5F3-1A592C1A2690}">
      <formula1>"Yes,No"</formula1>
    </dataValidation>
    <dataValidation type="list" allowBlank="1" showErrorMessage="1" promptTitle="Input Parameters" prompt="Is there an oxidation catalyst? Select or enter yes or no." sqref="B22" xr:uid="{115B7C0E-718F-4393-B9EB-D928047567C4}">
      <formula1>"Yes,No"</formula1>
    </dataValidation>
    <dataValidation type="decimal" operator="greaterThanOrEqual" allowBlank="1" showErrorMessage="1" errorTitle="Maximum Value Exceeded" error="Please enter a value for this parameter below the maximum value." prompt="Exhaust gas flow rate is deteremined by input parameters." sqref="B26" xr:uid="{DF36D7F7-4624-45B3-A08D-21B6965AD2B8}">
      <formula1>0</formula1>
    </dataValidation>
    <dataValidation type="list" allowBlank="1" showErrorMessage="1" promptTitle="Input Parameters" prompt="Is there a selective catalytic reduction (SCR) system for this engine? Select or enter yes or no." sqref="B21" xr:uid="{20B094C3-B7C3-4D3E-AA42-A97721D0A5DC}">
      <formula1>"Yes,No"</formula1>
    </dataValidation>
    <dataValidation operator="lessThanOrEqual" allowBlank="1" showErrorMessage="1" promptTitle="Emission Factor" prompt="Enter the emission factor for particulate matter with diameters 2.5 microns or less (PM2.5), in grams per horsepower-hour. The pounds per hour (lb/hr) and tons per year (tpy) will automatically calculate in cells to the right." sqref="B34" xr:uid="{1153B5BC-04B9-4C18-8F95-9CFFAFA525C0}"/>
    <dataValidation operator="lessThanOrEqual" allowBlank="1" showErrorMessage="1" promptTitle="Emission Factor" prompt="Enter the emission factor for particulate matter with diameters 10 microns or less (PM10), in grams per horsepower-hour. The pounds per hour (lb/hr) and tons per year (tpy) will automatically calculate in cells to the right." sqref="B33" xr:uid="{26D5F00F-3640-4D53-B276-B483ECE2C3FD}"/>
    <dataValidation operator="lessThanOrEqual" allowBlank="1" showErrorMessage="1" promptTitle="Emission Factor" prompt="Enter the emission factor for particulate matter (PM), in grams per horsepower-hour. The pounds per hour (lb/hr) and tons per year (tpy) will automatically calculate in cells to the right." sqref="B32" xr:uid="{E7D96AE2-C289-42BF-84BC-9CE7C8ACB7F2}"/>
    <dataValidation allowBlank="1" showErrorMessage="1" prompt="This cell intentionally left blank for internal comments. All internal comments must be submitted prior to application submittal." sqref="G3:G66 F41" xr:uid="{CED6387A-E70A-4A13-AE7C-7E425172AF71}"/>
    <dataValidation type="textLength" allowBlank="1" showErrorMessage="1" promptTitle="FIN" prompt="Input the Facility Identification Number for the engine.  Limited to 10 alphanumeric characters." sqref="B6" xr:uid="{0107BF1F-8AD7-49F2-A58D-50F240FB042A}">
      <formula1>0</formula1>
      <formula2>10</formula2>
    </dataValidation>
    <dataValidation type="decimal" operator="greaterThanOrEqual" allowBlank="1" showErrorMessage="1" errorTitle="Maximum Value Exceeded" error="Please enter a value for this parameter below the maximum value." promptTitle="Input Parameters" prompt="Enter the fuel consumption rate, in pounds of diesel per horsepower-hour._x000a_" sqref="B19" xr:uid="{C863A98C-DDAE-4EE6-B770-A2A7D40BA894}">
      <formula1>0</formula1>
    </dataValidation>
  </dataValidations>
  <printOptions horizontalCentered="1"/>
  <pageMargins left="0.25" right="0.25" top="0.57395833333333302" bottom="0.61354166666666698" header="0.3" footer="0.3"/>
  <pageSetup scale="73" orientation="portrait" r:id="rId1"/>
  <headerFooter>
    <oddHeader>&amp;C&amp;"Arial,Regular"Engine Power Generation RAP Application</oddHeader>
    <oddFooter>&amp;L&amp;"Arial,Regular"Version: 1.0&amp;C&amp;"Arial,Regular"Sheet: &amp;A&amp;R&amp;"Arial,Regular"Page &amp;P</oddFooter>
  </headerFooter>
  <rowBreaks count="1" manualBreakCount="1">
    <brk id="52" max="16383" man="1"/>
  </rowBreaks>
  <tableParts count="4">
    <tablePart r:id="rId2"/>
    <tablePart r:id="rId3"/>
    <tablePart r:id="rId4"/>
    <tablePart r:id="rId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96084-9852-4734-8152-53965E6B7ECC}">
  <sheetPr codeName="Sheet15">
    <tabColor rgb="FFFFFFCC"/>
  </sheetPr>
  <dimension ref="A1:L69"/>
  <sheetViews>
    <sheetView showGridLines="0" zoomScaleNormal="100" workbookViewId="0">
      <selection sqref="A1:F1"/>
    </sheetView>
  </sheetViews>
  <sheetFormatPr defaultColWidth="0" defaultRowHeight="14.25" zeroHeight="1" x14ac:dyDescent="0.2"/>
  <cols>
    <col min="1" max="1" width="34.125" customWidth="1"/>
    <col min="2" max="3" width="14.375" customWidth="1"/>
    <col min="4" max="4" width="16.375" customWidth="1"/>
    <col min="5" max="5" width="18.5" customWidth="1"/>
    <col min="6" max="6" width="27.125" customWidth="1"/>
    <col min="7" max="7" width="40.625" customWidth="1"/>
    <col min="8" max="8" width="2.625" customWidth="1"/>
    <col min="9" max="12" width="0" hidden="1" customWidth="1"/>
    <col min="13" max="16384" width="9" hidden="1"/>
  </cols>
  <sheetData>
    <row r="1" spans="1:9" ht="18.75" thickBot="1" x14ac:dyDescent="0.25">
      <c r="A1" s="861" t="s">
        <v>283</v>
      </c>
      <c r="B1" s="862"/>
      <c r="C1" s="862"/>
      <c r="D1" s="862"/>
      <c r="E1" s="862"/>
      <c r="F1" s="863"/>
      <c r="G1" s="133" t="s">
        <v>60</v>
      </c>
      <c r="I1" t="b">
        <f>'PI-1-PowerEngine'!$B$78&lt;10</f>
        <v>1</v>
      </c>
    </row>
    <row r="2" spans="1:9" ht="61.5" customHeight="1" thickBot="1" x14ac:dyDescent="0.25">
      <c r="A2" s="880" t="s">
        <v>215</v>
      </c>
      <c r="B2" s="853"/>
      <c r="C2" s="853"/>
      <c r="D2" s="853"/>
      <c r="E2" s="853"/>
      <c r="F2" s="284"/>
      <c r="G2" s="64" t="s">
        <v>63</v>
      </c>
    </row>
    <row r="3" spans="1:9" ht="15" customHeight="1" thickBot="1" x14ac:dyDescent="0.25">
      <c r="A3" s="314" t="s">
        <v>4</v>
      </c>
      <c r="B3" s="97"/>
      <c r="C3" s="97"/>
      <c r="D3" s="97"/>
      <c r="E3" s="97"/>
      <c r="F3" s="97"/>
      <c r="G3" s="138"/>
    </row>
    <row r="4" spans="1:9" ht="17.100000000000001" customHeight="1" thickBot="1" x14ac:dyDescent="0.25">
      <c r="A4" s="171" t="s">
        <v>167</v>
      </c>
      <c r="B4" s="172"/>
      <c r="C4" s="172"/>
      <c r="D4" s="172"/>
      <c r="E4" s="172"/>
      <c r="F4" s="286"/>
      <c r="G4" s="139"/>
    </row>
    <row r="5" spans="1:9" ht="17.100000000000001" customHeight="1" x14ac:dyDescent="0.2">
      <c r="A5" s="295" t="s">
        <v>72</v>
      </c>
      <c r="B5" s="227" t="s">
        <v>73</v>
      </c>
      <c r="C5" s="228"/>
      <c r="D5" s="196"/>
      <c r="E5" s="196"/>
      <c r="F5" s="296"/>
      <c r="G5" s="139"/>
    </row>
    <row r="6" spans="1:9" ht="15" customHeight="1" x14ac:dyDescent="0.2">
      <c r="A6" s="388" t="s">
        <v>216</v>
      </c>
      <c r="B6" s="224"/>
      <c r="C6" s="229"/>
      <c r="D6" s="389"/>
      <c r="E6" s="389"/>
      <c r="F6" s="390"/>
      <c r="G6" s="139"/>
    </row>
    <row r="7" spans="1:9" ht="15" customHeight="1" x14ac:dyDescent="0.2">
      <c r="A7" s="257" t="s">
        <v>217</v>
      </c>
      <c r="B7" s="391"/>
      <c r="C7" s="389"/>
      <c r="D7" s="389"/>
      <c r="E7" s="389"/>
      <c r="F7" s="390"/>
      <c r="G7" s="139"/>
    </row>
    <row r="8" spans="1:9" ht="15" customHeight="1" x14ac:dyDescent="0.2">
      <c r="A8" s="369" t="s">
        <v>218</v>
      </c>
      <c r="B8" s="391"/>
      <c r="C8" s="389"/>
      <c r="D8" s="389"/>
      <c r="E8" s="389"/>
      <c r="F8" s="390"/>
      <c r="G8" s="139"/>
    </row>
    <row r="9" spans="1:9" ht="15" customHeight="1" x14ac:dyDescent="0.2">
      <c r="A9" s="369" t="s">
        <v>219</v>
      </c>
      <c r="B9" s="174"/>
      <c r="C9" s="389"/>
      <c r="D9" s="389"/>
      <c r="E9" s="389"/>
      <c r="F9" s="390"/>
      <c r="G9" s="139"/>
    </row>
    <row r="10" spans="1:9" ht="15" thickBot="1" x14ac:dyDescent="0.25">
      <c r="A10" s="258" t="s">
        <v>220</v>
      </c>
      <c r="B10" s="300"/>
      <c r="C10" s="416"/>
      <c r="D10" s="416"/>
      <c r="E10" s="416"/>
      <c r="F10" s="417"/>
      <c r="G10" s="139"/>
    </row>
    <row r="11" spans="1:9" ht="15" customHeight="1" thickBot="1" x14ac:dyDescent="0.25">
      <c r="A11" s="85"/>
      <c r="B11" s="85"/>
      <c r="C11" s="318" t="s">
        <v>4</v>
      </c>
      <c r="D11" s="85"/>
      <c r="E11" s="85"/>
      <c r="F11" s="85"/>
      <c r="G11" s="139"/>
    </row>
    <row r="12" spans="1:9" ht="17.100000000000001" customHeight="1" thickBot="1" x14ac:dyDescent="0.25">
      <c r="A12" s="171" t="s">
        <v>221</v>
      </c>
      <c r="B12" s="172"/>
      <c r="C12" s="172"/>
      <c r="D12" s="172"/>
      <c r="E12" s="172"/>
      <c r="F12" s="286"/>
      <c r="G12" s="139"/>
    </row>
    <row r="13" spans="1:9" ht="15" customHeight="1" x14ac:dyDescent="0.2">
      <c r="A13" s="301" t="s">
        <v>222</v>
      </c>
      <c r="B13" s="221" t="s">
        <v>223</v>
      </c>
      <c r="C13" s="221" t="s">
        <v>224</v>
      </c>
      <c r="D13" s="222" t="s">
        <v>225</v>
      </c>
      <c r="E13" s="209"/>
      <c r="F13" s="345"/>
      <c r="G13" s="139"/>
    </row>
    <row r="14" spans="1:9" ht="15" customHeight="1" x14ac:dyDescent="0.2">
      <c r="A14" s="369" t="s">
        <v>226</v>
      </c>
      <c r="B14" s="391"/>
      <c r="C14" s="392">
        <v>25</v>
      </c>
      <c r="D14" s="393" t="s">
        <v>855</v>
      </c>
      <c r="E14" s="349"/>
      <c r="F14" s="344"/>
      <c r="G14" s="139"/>
    </row>
    <row r="15" spans="1:9" ht="15" customHeight="1" x14ac:dyDescent="0.2">
      <c r="A15" s="369" t="s">
        <v>227</v>
      </c>
      <c r="B15" s="391"/>
      <c r="C15" s="392">
        <v>0.66</v>
      </c>
      <c r="D15" s="393" t="s">
        <v>855</v>
      </c>
      <c r="E15" s="349"/>
      <c r="F15" s="344"/>
      <c r="G15" s="139"/>
    </row>
    <row r="16" spans="1:9" ht="15" customHeight="1" x14ac:dyDescent="0.2">
      <c r="A16" s="369" t="s">
        <v>228</v>
      </c>
      <c r="B16" s="396"/>
      <c r="C16" s="392">
        <v>828</v>
      </c>
      <c r="D16" s="393" t="s">
        <v>855</v>
      </c>
      <c r="E16" s="349"/>
      <c r="F16" s="344"/>
      <c r="G16" s="139"/>
    </row>
    <row r="17" spans="1:9" ht="15" customHeight="1" x14ac:dyDescent="0.2">
      <c r="A17" s="369" t="s">
        <v>229</v>
      </c>
      <c r="B17" s="391"/>
      <c r="C17" s="392">
        <v>168.7</v>
      </c>
      <c r="D17" s="393" t="s">
        <v>855</v>
      </c>
      <c r="E17" s="349"/>
      <c r="F17" s="344"/>
      <c r="G17" s="139"/>
    </row>
    <row r="18" spans="1:9" ht="15" customHeight="1" x14ac:dyDescent="0.2">
      <c r="A18" s="282" t="s">
        <v>230</v>
      </c>
      <c r="B18" s="396"/>
      <c r="C18" s="392" t="s">
        <v>855</v>
      </c>
      <c r="D18" s="393" t="s">
        <v>855</v>
      </c>
      <c r="E18" s="349"/>
      <c r="F18" s="344"/>
      <c r="G18" s="139"/>
    </row>
    <row r="19" spans="1:9" ht="15" customHeight="1" x14ac:dyDescent="0.2">
      <c r="A19" s="369" t="s">
        <v>231</v>
      </c>
      <c r="B19" s="391"/>
      <c r="C19" s="392" t="s">
        <v>855</v>
      </c>
      <c r="D19" s="393" t="s">
        <v>855</v>
      </c>
      <c r="E19" s="349"/>
      <c r="F19" s="344"/>
      <c r="G19" s="139"/>
    </row>
    <row r="20" spans="1:9" ht="15" customHeight="1" x14ac:dyDescent="0.2">
      <c r="A20" s="369" t="s">
        <v>232</v>
      </c>
      <c r="B20" s="159"/>
      <c r="C20" s="392" t="s">
        <v>855</v>
      </c>
      <c r="D20" s="393">
        <v>15</v>
      </c>
      <c r="E20" s="349"/>
      <c r="F20" s="344"/>
      <c r="G20" s="139"/>
    </row>
    <row r="21" spans="1:9" ht="31.5" customHeight="1" x14ac:dyDescent="0.2">
      <c r="A21" s="398" t="s">
        <v>233</v>
      </c>
      <c r="B21" s="159"/>
      <c r="C21" s="392" t="s">
        <v>855</v>
      </c>
      <c r="D21" s="393" t="s">
        <v>855</v>
      </c>
      <c r="E21" s="349"/>
      <c r="F21" s="344"/>
      <c r="G21" s="139"/>
    </row>
    <row r="22" spans="1:9" ht="15" customHeight="1" x14ac:dyDescent="0.2">
      <c r="A22" s="398" t="s">
        <v>234</v>
      </c>
      <c r="B22" s="159"/>
      <c r="C22" s="392" t="s">
        <v>855</v>
      </c>
      <c r="D22" s="393" t="s">
        <v>855</v>
      </c>
      <c r="E22" s="349"/>
      <c r="F22" s="344"/>
      <c r="G22" s="139"/>
    </row>
    <row r="23" spans="1:9" ht="15" customHeight="1" x14ac:dyDescent="0.2">
      <c r="A23" s="398" t="s">
        <v>235</v>
      </c>
      <c r="B23" s="159"/>
      <c r="C23" s="392" t="s">
        <v>855</v>
      </c>
      <c r="D23" s="393" t="s">
        <v>855</v>
      </c>
      <c r="E23" s="349"/>
      <c r="F23" s="344"/>
      <c r="G23" s="139"/>
    </row>
    <row r="24" spans="1:9" ht="15" customHeight="1" x14ac:dyDescent="0.2">
      <c r="A24" s="369" t="s">
        <v>236</v>
      </c>
      <c r="B24" s="159"/>
      <c r="C24" s="392" t="s">
        <v>855</v>
      </c>
      <c r="D24" s="393">
        <v>10</v>
      </c>
      <c r="E24" s="349"/>
      <c r="F24" s="344"/>
      <c r="G24" s="139"/>
      <c r="I24" t="b">
        <f>$B$21="NO"</f>
        <v>0</v>
      </c>
    </row>
    <row r="25" spans="1:9" ht="15" customHeight="1" x14ac:dyDescent="0.2">
      <c r="A25" s="369" t="s">
        <v>237</v>
      </c>
      <c r="B25" s="159"/>
      <c r="C25" s="392" t="s">
        <v>855</v>
      </c>
      <c r="D25" s="393">
        <v>300</v>
      </c>
      <c r="E25" s="349"/>
      <c r="F25" s="344"/>
      <c r="G25" s="139"/>
    </row>
    <row r="26" spans="1:9" ht="15" customHeight="1" thickBot="1" x14ac:dyDescent="0.25">
      <c r="A26" s="283" t="s">
        <v>275</v>
      </c>
      <c r="B26" s="285">
        <f>B17*60*PI()/4*B15^2*(459.67+60)/(459.67+B16)</f>
        <v>0</v>
      </c>
      <c r="C26" s="399" t="s">
        <v>855</v>
      </c>
      <c r="D26" s="400" t="s">
        <v>855</v>
      </c>
      <c r="E26" s="350"/>
      <c r="F26" s="351"/>
      <c r="G26" s="139"/>
    </row>
    <row r="27" spans="1:9" ht="15" customHeight="1" thickBot="1" x14ac:dyDescent="0.25">
      <c r="A27" s="403"/>
      <c r="B27" s="389"/>
      <c r="C27" s="389"/>
      <c r="D27" s="389"/>
      <c r="G27" s="139"/>
    </row>
    <row r="28" spans="1:9" ht="15" customHeight="1" thickBot="1" x14ac:dyDescent="0.25">
      <c r="A28" s="160" t="s">
        <v>239</v>
      </c>
      <c r="B28" s="161"/>
      <c r="C28" s="161"/>
      <c r="D28" s="161"/>
      <c r="E28" s="161"/>
      <c r="F28" s="286"/>
      <c r="G28" s="139"/>
    </row>
    <row r="29" spans="1:9" ht="15" x14ac:dyDescent="0.2">
      <c r="A29" s="225" t="s">
        <v>240</v>
      </c>
      <c r="B29" s="63" t="s">
        <v>241</v>
      </c>
      <c r="C29" s="221" t="s">
        <v>242</v>
      </c>
      <c r="D29" s="357" t="s">
        <v>243</v>
      </c>
      <c r="E29" s="882" t="s">
        <v>244</v>
      </c>
      <c r="F29" s="867"/>
      <c r="G29" s="139"/>
    </row>
    <row r="30" spans="1:9" x14ac:dyDescent="0.2">
      <c r="A30" s="334" t="s">
        <v>245</v>
      </c>
      <c r="B30" s="404"/>
      <c r="C30" s="392" t="s">
        <v>246</v>
      </c>
      <c r="D30" s="355"/>
      <c r="E30" s="881" t="str">
        <f>IFERROR(INDEX(Reference!$AQ$14:$AQ$17,MATCH(D30,EngDDSource,0)),"")</f>
        <v/>
      </c>
      <c r="F30" s="865"/>
      <c r="G30" s="139"/>
    </row>
    <row r="31" spans="1:9" x14ac:dyDescent="0.2">
      <c r="A31" s="334" t="s">
        <v>247</v>
      </c>
      <c r="B31" s="404"/>
      <c r="C31" s="392" t="s">
        <v>246</v>
      </c>
      <c r="D31" s="355"/>
      <c r="E31" s="881" t="str">
        <f>IFERROR(INDEX(Reference!$AQ$14:$AQ$17,MATCH(D31,EngDDSource,0)),"")</f>
        <v/>
      </c>
      <c r="F31" s="865"/>
      <c r="G31" s="139"/>
    </row>
    <row r="32" spans="1:9" x14ac:dyDescent="0.2">
      <c r="A32" s="334" t="s">
        <v>248</v>
      </c>
      <c r="B32" s="153"/>
      <c r="C32" s="392" t="s">
        <v>246</v>
      </c>
      <c r="D32" s="355"/>
      <c r="E32" s="881" t="str">
        <f>IFERROR(INDEX(Reference!$AQ$14:$AQ$17,MATCH(D32,EngDDSource,0)),"")</f>
        <v/>
      </c>
      <c r="F32" s="865"/>
      <c r="G32" s="139"/>
    </row>
    <row r="33" spans="1:12" x14ac:dyDescent="0.2">
      <c r="A33" s="334" t="s">
        <v>249</v>
      </c>
      <c r="B33" s="153"/>
      <c r="C33" s="392" t="s">
        <v>246</v>
      </c>
      <c r="D33" s="355"/>
      <c r="E33" s="881" t="str">
        <f>IFERROR(INDEX(Reference!$AQ$14:$AQ$17,MATCH(D33,EngDDSource,0)),"")</f>
        <v/>
      </c>
      <c r="F33" s="865"/>
      <c r="G33" s="139"/>
    </row>
    <row r="34" spans="1:12" x14ac:dyDescent="0.2">
      <c r="A34" s="334" t="s">
        <v>250</v>
      </c>
      <c r="B34" s="153"/>
      <c r="C34" s="392" t="s">
        <v>246</v>
      </c>
      <c r="D34" s="355"/>
      <c r="E34" s="881" t="str">
        <f>IFERROR(INDEX(Reference!$AQ$14:$AQ$17,MATCH(D34,EngDDSource,0)),"")</f>
        <v/>
      </c>
      <c r="F34" s="865"/>
      <c r="G34" s="139"/>
    </row>
    <row r="35" spans="1:12" x14ac:dyDescent="0.2">
      <c r="A35" s="334" t="s">
        <v>251</v>
      </c>
      <c r="B35" s="404"/>
      <c r="C35" s="392" t="s">
        <v>246</v>
      </c>
      <c r="D35" s="355"/>
      <c r="E35" s="881" t="str">
        <f>IFERROR(INDEX(Reference!$AQ$14:$AQ$17,MATCH(D35,EngDDSource,0)),"")</f>
        <v/>
      </c>
      <c r="F35" s="865"/>
      <c r="G35" s="139"/>
    </row>
    <row r="36" spans="1:12" ht="33.75" customHeight="1" x14ac:dyDescent="0.2">
      <c r="A36" s="334" t="s">
        <v>252</v>
      </c>
      <c r="B36" s="155" t="s">
        <v>855</v>
      </c>
      <c r="C36" s="392" t="s">
        <v>855</v>
      </c>
      <c r="D36" s="356" t="s">
        <v>253</v>
      </c>
      <c r="E36" s="881" t="s">
        <v>254</v>
      </c>
      <c r="F36" s="865"/>
      <c r="G36" s="139"/>
    </row>
    <row r="37" spans="1:12" ht="33.75" customHeight="1" x14ac:dyDescent="0.2">
      <c r="A37" s="334" t="s">
        <v>255</v>
      </c>
      <c r="B37" s="155" t="s">
        <v>855</v>
      </c>
      <c r="C37" s="392" t="s">
        <v>855</v>
      </c>
      <c r="D37" s="356" t="s">
        <v>253</v>
      </c>
      <c r="E37" s="881" t="s">
        <v>256</v>
      </c>
      <c r="F37" s="865"/>
      <c r="G37" s="139"/>
    </row>
    <row r="38" spans="1:12" ht="33.75" customHeight="1" thickBot="1" x14ac:dyDescent="0.25">
      <c r="A38" s="337" t="s">
        <v>257</v>
      </c>
      <c r="B38" s="341" t="s">
        <v>855</v>
      </c>
      <c r="C38" s="341" t="s">
        <v>855</v>
      </c>
      <c r="D38" s="358" t="s">
        <v>253</v>
      </c>
      <c r="E38" s="876" t="s">
        <v>258</v>
      </c>
      <c r="F38" s="877"/>
      <c r="G38" s="139"/>
      <c r="I38" t="b">
        <f>$I$24</f>
        <v>0</v>
      </c>
    </row>
    <row r="39" spans="1:12" ht="15" customHeight="1" thickBot="1" x14ac:dyDescent="0.25">
      <c r="A39" s="403"/>
      <c r="B39" s="389"/>
      <c r="C39" s="389"/>
      <c r="D39" s="389"/>
      <c r="G39" s="139"/>
    </row>
    <row r="40" spans="1:12" ht="17.100000000000001" customHeight="1" thickBot="1" x14ac:dyDescent="0.25">
      <c r="A40" s="160" t="s">
        <v>259</v>
      </c>
      <c r="B40" s="161"/>
      <c r="C40" s="161"/>
      <c r="D40" s="161"/>
      <c r="E40" s="161"/>
      <c r="F40" s="286"/>
      <c r="G40" s="139"/>
    </row>
    <row r="41" spans="1:12" ht="46.5" customHeight="1" x14ac:dyDescent="0.2">
      <c r="A41" s="733" t="s">
        <v>260</v>
      </c>
      <c r="B41" s="842"/>
      <c r="C41" s="842"/>
      <c r="D41" s="842"/>
      <c r="E41" s="842"/>
      <c r="F41" s="868"/>
      <c r="G41" s="139"/>
    </row>
    <row r="42" spans="1:12" ht="49.5" customHeight="1" x14ac:dyDescent="0.2">
      <c r="A42" s="225" t="s">
        <v>240</v>
      </c>
      <c r="B42" s="221" t="s">
        <v>261</v>
      </c>
      <c r="C42" s="221" t="s">
        <v>262</v>
      </c>
      <c r="D42" s="221" t="s">
        <v>263</v>
      </c>
      <c r="E42" s="222" t="s">
        <v>264</v>
      </c>
      <c r="F42" s="343"/>
      <c r="G42" s="139"/>
    </row>
    <row r="43" spans="1:12" ht="15" customHeight="1" x14ac:dyDescent="0.2">
      <c r="A43" s="405" t="s">
        <v>245</v>
      </c>
      <c r="B43" s="406">
        <f t="shared" ref="B43:B48" si="0">$B$18*B30/453.6</f>
        <v>0</v>
      </c>
      <c r="C43" s="407">
        <v>1.85</v>
      </c>
      <c r="D43" s="406">
        <f t="shared" ref="D43:D51" si="1">B43*$B$25/2000</f>
        <v>0</v>
      </c>
      <c r="E43" s="393">
        <v>0.27750000000000002</v>
      </c>
      <c r="F43" s="390"/>
      <c r="G43" s="139"/>
      <c r="J43" t="b">
        <f>$B43&gt;$C43</f>
        <v>0</v>
      </c>
      <c r="L43" t="b">
        <f>$D43&gt;$E43</f>
        <v>0</v>
      </c>
    </row>
    <row r="44" spans="1:12" ht="15" customHeight="1" x14ac:dyDescent="0.2">
      <c r="A44" s="405" t="s">
        <v>247</v>
      </c>
      <c r="B44" s="406">
        <f t="shared" si="0"/>
        <v>0</v>
      </c>
      <c r="C44" s="407">
        <v>5.43</v>
      </c>
      <c r="D44" s="406">
        <f t="shared" si="1"/>
        <v>0</v>
      </c>
      <c r="E44" s="393" t="s">
        <v>855</v>
      </c>
      <c r="F44" s="390"/>
      <c r="G44" s="139"/>
      <c r="J44" t="b">
        <f t="shared" ref="J44:J51" si="2">$B44&gt;$C44</f>
        <v>0</v>
      </c>
    </row>
    <row r="45" spans="1:12" ht="15" customHeight="1" x14ac:dyDescent="0.2">
      <c r="A45" s="405" t="s">
        <v>248</v>
      </c>
      <c r="B45" s="406">
        <f t="shared" si="0"/>
        <v>0</v>
      </c>
      <c r="C45" s="392" t="s">
        <v>855</v>
      </c>
      <c r="D45" s="406">
        <f t="shared" si="1"/>
        <v>0</v>
      </c>
      <c r="E45" s="393" t="s">
        <v>855</v>
      </c>
      <c r="F45" s="390"/>
      <c r="G45" s="139"/>
    </row>
    <row r="46" spans="1:12" ht="15" customHeight="1" x14ac:dyDescent="0.2">
      <c r="A46" s="405" t="s">
        <v>249</v>
      </c>
      <c r="B46" s="406">
        <f t="shared" si="0"/>
        <v>0</v>
      </c>
      <c r="C46" s="408">
        <v>2.1999999999999999E-2</v>
      </c>
      <c r="D46" s="406">
        <f t="shared" si="1"/>
        <v>0</v>
      </c>
      <c r="E46" s="393" t="s">
        <v>855</v>
      </c>
      <c r="F46" s="390"/>
      <c r="G46" s="139"/>
      <c r="J46" t="b">
        <f t="shared" si="2"/>
        <v>0</v>
      </c>
    </row>
    <row r="47" spans="1:12" ht="15" customHeight="1" x14ac:dyDescent="0.2">
      <c r="A47" s="405" t="s">
        <v>250</v>
      </c>
      <c r="B47" s="406">
        <f t="shared" si="0"/>
        <v>0</v>
      </c>
      <c r="C47" s="408">
        <v>2.1999999999999999E-2</v>
      </c>
      <c r="D47" s="406">
        <f t="shared" si="1"/>
        <v>0</v>
      </c>
      <c r="E47" s="393">
        <v>3.3999999999999998E-3</v>
      </c>
      <c r="F47" s="390"/>
      <c r="G47" s="139"/>
      <c r="J47" t="b">
        <f t="shared" si="2"/>
        <v>0</v>
      </c>
      <c r="L47" t="b">
        <f t="shared" ref="L47:L51" si="3">$D47&gt;$E47</f>
        <v>0</v>
      </c>
    </row>
    <row r="48" spans="1:12" ht="15" customHeight="1" x14ac:dyDescent="0.2">
      <c r="A48" s="405" t="s">
        <v>251</v>
      </c>
      <c r="B48" s="406">
        <f t="shared" si="0"/>
        <v>0</v>
      </c>
      <c r="C48" s="392" t="s">
        <v>855</v>
      </c>
      <c r="D48" s="406">
        <f t="shared" si="1"/>
        <v>0</v>
      </c>
      <c r="E48" s="393" t="s">
        <v>855</v>
      </c>
      <c r="F48" s="390"/>
      <c r="G48" s="139"/>
    </row>
    <row r="49" spans="1:12" ht="15" customHeight="1" x14ac:dyDescent="0.2">
      <c r="A49" s="405" t="s">
        <v>252</v>
      </c>
      <c r="B49" s="406">
        <f>$B$19*7.05*$B$18*($B$20/1000000)*(64/32)</f>
        <v>0</v>
      </c>
      <c r="C49" s="408">
        <v>5.8999999999999997E-2</v>
      </c>
      <c r="D49" s="406">
        <f t="shared" si="1"/>
        <v>0</v>
      </c>
      <c r="E49" s="393">
        <v>8.8000000000000005E-3</v>
      </c>
      <c r="F49" s="390"/>
      <c r="G49" s="139"/>
      <c r="J49" t="b">
        <f t="shared" si="2"/>
        <v>0</v>
      </c>
      <c r="L49" t="b">
        <f t="shared" si="3"/>
        <v>0</v>
      </c>
    </row>
    <row r="50" spans="1:12" ht="15" customHeight="1" x14ac:dyDescent="0.2">
      <c r="A50" s="405" t="s">
        <v>255</v>
      </c>
      <c r="B50" s="406">
        <f>$B$49*(1/64.06)*(0.1/1)*98.07</f>
        <v>0</v>
      </c>
      <c r="C50" s="409">
        <v>5.7000000000000002E-3</v>
      </c>
      <c r="D50" s="406">
        <f t="shared" si="1"/>
        <v>0</v>
      </c>
      <c r="E50" s="393" t="s">
        <v>855</v>
      </c>
      <c r="F50" s="390"/>
      <c r="G50" s="139"/>
      <c r="J50" t="b">
        <f t="shared" si="2"/>
        <v>0</v>
      </c>
    </row>
    <row r="51" spans="1:12" ht="15" customHeight="1" x14ac:dyDescent="0.2">
      <c r="A51" s="410" t="s">
        <v>257</v>
      </c>
      <c r="B51" s="619">
        <f>IF(B21="no",0,$B$24*(17/379)*$B$26*(60/1000000))</f>
        <v>0</v>
      </c>
      <c r="C51" s="226">
        <v>0.129</v>
      </c>
      <c r="D51" s="621">
        <f t="shared" si="1"/>
        <v>0</v>
      </c>
      <c r="E51" s="412">
        <v>1.9300000000000001E-2</v>
      </c>
      <c r="F51" s="390"/>
      <c r="G51" s="139"/>
      <c r="I51" t="b">
        <f>$I$24</f>
        <v>0</v>
      </c>
      <c r="J51" t="b">
        <f t="shared" si="2"/>
        <v>0</v>
      </c>
      <c r="L51" t="b">
        <f t="shared" si="3"/>
        <v>0</v>
      </c>
    </row>
    <row r="52" spans="1:12" ht="90.75" customHeight="1" thickBot="1" x14ac:dyDescent="0.25">
      <c r="A52" s="878" t="s">
        <v>265</v>
      </c>
      <c r="B52" s="844"/>
      <c r="C52" s="844"/>
      <c r="D52" s="844"/>
      <c r="E52" s="844"/>
      <c r="F52" s="879"/>
      <c r="G52" s="139"/>
    </row>
    <row r="53" spans="1:12" ht="15" customHeight="1" thickBot="1" x14ac:dyDescent="0.25">
      <c r="A53" s="316"/>
      <c r="B53" s="154"/>
      <c r="C53" s="154"/>
      <c r="D53" s="154"/>
      <c r="E53" s="154"/>
      <c r="F53" s="154"/>
      <c r="G53" s="139"/>
    </row>
    <row r="54" spans="1:12" ht="17.100000000000001" customHeight="1" thickBot="1" x14ac:dyDescent="0.25">
      <c r="A54" s="194" t="s">
        <v>266</v>
      </c>
      <c r="B54" s="195"/>
      <c r="C54" s="195"/>
      <c r="D54" s="195"/>
      <c r="E54" s="195"/>
      <c r="F54" s="286"/>
      <c r="G54" s="139"/>
    </row>
    <row r="55" spans="1:12" ht="20.100000000000001" customHeight="1" thickBot="1" x14ac:dyDescent="0.25">
      <c r="A55" s="413" t="s">
        <v>267</v>
      </c>
      <c r="B55" s="414"/>
      <c r="C55" s="414"/>
      <c r="D55" s="414"/>
      <c r="E55" s="414"/>
      <c r="F55" s="415"/>
      <c r="G55" s="139"/>
    </row>
    <row r="56" spans="1:12" ht="20.100000000000001" customHeight="1" x14ac:dyDescent="0.2">
      <c r="A56" s="204" t="s">
        <v>268</v>
      </c>
      <c r="B56" s="201"/>
      <c r="C56" s="201"/>
      <c r="D56" s="201"/>
      <c r="E56" s="201"/>
      <c r="F56" s="352"/>
      <c r="G56" s="139"/>
    </row>
    <row r="57" spans="1:12" ht="20.100000000000001" customHeight="1" x14ac:dyDescent="0.2">
      <c r="A57" s="90" t="str">
        <f>"("&amp;TEXT($B$18,"#,##0")&amp;" hp × "&amp;$B$30&amp;" g/hp-hr)"&amp;" ÷ 453.6 lb/g = "&amp;TEXT(($B$18*B30)/453.6,"#,##0.00##")&amp;" lb/hr"</f>
        <v>(0 hp ×  g/hp-hr) ÷ 453.6 lb/g = 0.00 lb/hr</v>
      </c>
      <c r="B57" s="91"/>
      <c r="C57" s="91"/>
      <c r="D57" s="91"/>
      <c r="E57" s="91"/>
      <c r="F57" s="91"/>
      <c r="G57" s="193"/>
    </row>
    <row r="58" spans="1:12" ht="20.100000000000001" customHeight="1" x14ac:dyDescent="0.2">
      <c r="A58" s="205" t="s">
        <v>269</v>
      </c>
      <c r="B58" s="206"/>
      <c r="C58" s="206"/>
      <c r="D58" s="206"/>
      <c r="E58" s="206"/>
      <c r="F58" s="354"/>
      <c r="G58" s="139"/>
    </row>
    <row r="59" spans="1:12" ht="20.100000000000001" customHeight="1" x14ac:dyDescent="0.2">
      <c r="A59" s="869" t="str">
        <f>"("&amp;TEXT(B19,"#,##0")&amp;" gal diesel/hp-hr × 7.05 lb diesel/gal diesel × "&amp;TEXT($B$18,"#,##0")&amp;" hp)"&amp;" × ("&amp;$B$20&amp;" lb S ÷ 1,000,000 lb diesel)"&amp;" × (64 lb SO2 ÷ 32 lb S) = "&amp;TEXT($B$19*7.05*$B$18*($B$20/1000000)*(64/32),"#,##0.00##")&amp;" lb/hr"</f>
        <v>(0 gal diesel/hp-hr × 7.05 lb diesel/gal diesel × 0 hp) × ( lb S ÷ 1,000,000 lb diesel) × (64 lb SO2 ÷ 32 lb S) = 0.00 lb/hr</v>
      </c>
      <c r="B59" s="870"/>
      <c r="C59" s="870"/>
      <c r="D59" s="870"/>
      <c r="E59" s="870"/>
      <c r="F59" s="871"/>
      <c r="G59" s="193"/>
    </row>
    <row r="60" spans="1:12" ht="20.100000000000001" customHeight="1" x14ac:dyDescent="0.2">
      <c r="A60" s="353" t="s">
        <v>270</v>
      </c>
      <c r="B60" s="271"/>
      <c r="C60" s="271"/>
      <c r="D60" s="271"/>
      <c r="E60" s="271"/>
      <c r="F60" s="271"/>
      <c r="G60" s="139"/>
    </row>
    <row r="61" spans="1:12" ht="30" customHeight="1" x14ac:dyDescent="0.2">
      <c r="A61" s="707" t="str">
        <f>"("&amp;TEXT($B$49,"#,##0.00")&amp;" lb/hr) × (1 lb mol SO2 ÷ 64.06 lb SO2) × (0.1 lb mol SO3 ÷ 1 lb mol SO2) × (1 lb mol H2SO4 ÷ 1 lb mol SO3) × (98.07 lb H2SO4 ÷ 1 lb mol H2SO4) = "&amp;TEXT($B$49*(1/64.06)*(0.1/1)*98.07,"#,##0.00##")&amp;" lb/hr"</f>
        <v>(0.00 lb/hr) × (1 lb mol SO2 ÷ 64.06 lb SO2) × (0.1 lb mol SO3 ÷ 1 lb mol SO2) × (1 lb mol H2SO4 ÷ 1 lb mol SO3) × (98.07 lb H2SO4 ÷ 1 lb mol H2SO4) = 0.00 lb/hr</v>
      </c>
      <c r="B61" s="859"/>
      <c r="C61" s="859"/>
      <c r="D61" s="859"/>
      <c r="E61" s="859"/>
      <c r="F61" s="860"/>
      <c r="G61" s="193"/>
    </row>
    <row r="62" spans="1:12" ht="20.100000000000001" customHeight="1" x14ac:dyDescent="0.2">
      <c r="A62" s="90" t="s">
        <v>271</v>
      </c>
      <c r="B62" s="415"/>
      <c r="C62" s="415"/>
      <c r="D62" s="415"/>
      <c r="E62" s="415"/>
      <c r="F62" s="415"/>
      <c r="G62" s="139"/>
    </row>
    <row r="63" spans="1:12" ht="20.100000000000001" customHeight="1" x14ac:dyDescent="0.2">
      <c r="A63" s="205" t="s">
        <v>272</v>
      </c>
      <c r="B63" s="206"/>
      <c r="C63" s="206"/>
      <c r="D63" s="206"/>
      <c r="E63" s="206"/>
      <c r="F63" s="354"/>
      <c r="G63" s="139"/>
      <c r="I63" t="b">
        <f>$I$24</f>
        <v>0</v>
      </c>
    </row>
    <row r="64" spans="1:12" ht="20.100000000000001" customHeight="1" x14ac:dyDescent="0.2">
      <c r="A64" s="869" t="str">
        <f>"("&amp;TEXT($B$24,"#,##0.00")&amp;" ppm NH3 × 17 lb NH3/lb-mol × "&amp;TEXT($B$26,"#,##0.00")&amp;" scf/min × 60 min/hr) ÷ (379.00 dscf/lb-mol × 1000000) = "&amp;TEXT($B$24*(17/379)*$B$26*(60/1000000),"#,##0.00##")&amp;" lb/hr"</f>
        <v>(0.00 ppm NH3 × 17 lb NH3/lb-mol × 0.00 scf/min × 60 min/hr) ÷ (379.00 dscf/lb-mol × 1000000) = 0.00 lb/hr</v>
      </c>
      <c r="B64" s="870"/>
      <c r="C64" s="870"/>
      <c r="D64" s="870"/>
      <c r="E64" s="870"/>
      <c r="F64" s="871"/>
      <c r="G64" s="193"/>
      <c r="I64" t="b">
        <f>$I$24</f>
        <v>0</v>
      </c>
    </row>
    <row r="65" spans="1:7" ht="20.100000000000001" customHeight="1" x14ac:dyDescent="0.2">
      <c r="A65" s="353" t="s">
        <v>273</v>
      </c>
      <c r="B65" s="271"/>
      <c r="C65" s="271"/>
      <c r="D65" s="271"/>
      <c r="E65" s="271"/>
      <c r="F65" s="271"/>
      <c r="G65" s="139"/>
    </row>
    <row r="66" spans="1:7" ht="20.100000000000001" customHeight="1" thickBot="1" x14ac:dyDescent="0.25">
      <c r="A66" s="207" t="str">
        <f>"("&amp;TEXT($B$43,"#,##0.00")&amp;" lb/hr × "&amp;$B$25&amp;" hr/yr)"&amp;" ÷  2000 lb/ton = "&amp;TEXT(($B$43*$B$25)/2000,"#,##0.00##")&amp;" tpy"</f>
        <v>(0.00 lb/hr ×  hr/yr) ÷  2000 lb/ton = 0.00 tpy</v>
      </c>
      <c r="B66" s="208"/>
      <c r="C66" s="208"/>
      <c r="D66" s="208"/>
      <c r="E66" s="208"/>
      <c r="F66" s="208"/>
      <c r="G66" s="143"/>
    </row>
    <row r="67" spans="1:7" ht="8.4499999999999993" customHeight="1" x14ac:dyDescent="0.2">
      <c r="A67" s="313"/>
      <c r="B67" s="164"/>
      <c r="C67" s="164"/>
      <c r="D67" s="164"/>
      <c r="E67" s="164"/>
      <c r="F67" s="164"/>
      <c r="G67" s="164"/>
    </row>
    <row r="68" spans="1:7" x14ac:dyDescent="0.2">
      <c r="A68" s="883" t="str">
        <f>HYPERLINK("#ENGINE_Summary","End of sheet. Click here to move to the next sheet.")</f>
        <v>End of sheet. Click here to move to the next sheet.</v>
      </c>
      <c r="B68" s="858"/>
      <c r="C68" s="858"/>
      <c r="D68" s="858"/>
      <c r="E68" s="858"/>
      <c r="F68" s="858"/>
      <c r="G68" s="165"/>
    </row>
    <row r="69" spans="1:7" ht="8.4499999999999993" hidden="1" customHeight="1" x14ac:dyDescent="0.2">
      <c r="A69" s="85"/>
      <c r="B69" s="85"/>
      <c r="C69" s="85"/>
      <c r="D69" s="85"/>
      <c r="E69" s="85"/>
      <c r="F69" s="85"/>
      <c r="G69" s="85"/>
    </row>
  </sheetData>
  <sheetProtection algorithmName="SHA-512" hashValue="0SrnwFJ0jaCMgLU7VhUe80lMHSoATjMOv+sxUB0MrCnqzeNypd/EluLz5DBrk6LMiOJYrivlIRFho+GNm6ef3g==" saltValue="HnY/VFEGmJGBAHQ6MStkDw==" spinCount="100000" sheet="1" objects="1" scenarios="1" formatColumns="0" formatRows="0" autoFilter="0"/>
  <mergeCells count="18">
    <mergeCell ref="A59:F59"/>
    <mergeCell ref="A61:F61"/>
    <mergeCell ref="A64:F64"/>
    <mergeCell ref="A52:F52"/>
    <mergeCell ref="A68:F68"/>
    <mergeCell ref="A41:F41"/>
    <mergeCell ref="A1:F1"/>
    <mergeCell ref="A2:E2"/>
    <mergeCell ref="E36:F36"/>
    <mergeCell ref="E37:F37"/>
    <mergeCell ref="E38:F38"/>
    <mergeCell ref="E35:F35"/>
    <mergeCell ref="E34:F34"/>
    <mergeCell ref="E33:F33"/>
    <mergeCell ref="E32:F32"/>
    <mergeCell ref="E31:F31"/>
    <mergeCell ref="E30:F30"/>
    <mergeCell ref="E29:F29"/>
  </mergeCells>
  <phoneticPr fontId="48" type="noConversion"/>
  <conditionalFormatting sqref="A24:D24 A38:F38 A51:E51 A63:F64">
    <cfRule type="expression" dxfId="52" priority="2">
      <formula>$I24</formula>
    </cfRule>
  </conditionalFormatting>
  <conditionalFormatting sqref="A1:G66">
    <cfRule type="expression" dxfId="51" priority="1">
      <formula>$I$1</formula>
    </cfRule>
  </conditionalFormatting>
  <conditionalFormatting sqref="B43:D51">
    <cfRule type="expression" dxfId="50" priority="3">
      <formula>J43</formula>
    </cfRule>
  </conditionalFormatting>
  <dataValidations count="27">
    <dataValidation type="decimal" operator="lessThanOrEqual" allowBlank="1" showErrorMessage="1" promptTitle="Emission Factor" prompt="Enter the emission factor for volatile organic compounds (VOC), in grams per horsepower-hour. The pounds per hour (lb/hr) and tons per year (tpy) will automatically calculate in cells to the right." sqref="B35" xr:uid="{EC86B829-5526-4971-B2EE-775CD28B2219}">
      <formula1>100</formula1>
    </dataValidation>
    <dataValidation type="list" allowBlank="1" showErrorMessage="1" promptTitle="UTM Zone" prompt="Enter the UTM Coordinates zone for the EPN &quot;Engine1&quot;. In Texas, this must be 13, 14, or 15." sqref="B8" xr:uid="{FB9A5E69-9379-4874-9232-AF0ACC3F9CDC}">
      <formula1>"13,14,15"</formula1>
    </dataValidation>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9" xr:uid="{E973C095-252D-4976-93D2-8026FD56EE1D}">
      <formula1>205000</formula1>
      <formula2>795000</formula2>
    </dataValidation>
    <dataValidation type="decimal" allowBlank="1" showErrorMessage="1" errorTitle="North (Meters)" error="Enter a value between 2854000 and 4059000 meters." promptTitle="UTM North" prompt="Enter the distance north of the zone datum for this EPN, in meters. This is a six-digit number between 2854000 and 4059000." sqref="B10" xr:uid="{17A152CA-5E6F-4DA6-995F-401FE1967F66}">
      <formula1>2854000</formula1>
      <formula2>4059000</formula2>
    </dataValidation>
    <dataValidation operator="greaterThanOrEqual" allowBlank="1" showErrorMessage="1" errorTitle="Maximum Value Exceeded" error="Please enter a value for this parameter below the maximum value." promptTitle="Input Parameters" prompt="Enter the rated brake horsepower (BHP) in horsepower (hp). Note that this value must be less than __." sqref="B18" xr:uid="{FDB01127-D253-4610-AD8D-400DFC85CB6A}"/>
    <dataValidation type="decimal" operator="greaterThanOrEqual" allowBlank="1" showErrorMessage="1" errorTitle="Parameter Below Minimum Value" error="Please enter a value for this parameter that is larger than the minimum value." promptTitle="Input Parameters" prompt="Enter the velocity of the emisions, in feet per second. Note that this value must be greater than 168.7 feet per second." sqref="B17" xr:uid="{9D101BD2-3DB3-4974-8C46-E5E4BCF36731}">
      <formula1>C17</formula1>
    </dataValidation>
    <dataValidation type="decimal" operator="greaterThanOrEqual" allowBlank="1" showErrorMessage="1" errorTitle="Parameter Below Minimum Value" error="Please enter a value for this parameter that is larger than the minimum value." promptTitle="Input Parameters" prompt="Enter the Temperature in degrees Fahrenheit for this EPN. Note that this must be at least 828 degrees." sqref="B16" xr:uid="{AC5D6595-1B6B-4D25-9A44-3925EDEECE0F}">
      <formula1>C16</formula1>
    </dataValidation>
    <dataValidation type="decimal" operator="greaterThanOrEqual" allowBlank="1" showErrorMessage="1" errorTitle="Parameter Below Minimum Value" error="Please enter a value for this parameter that is larger than the minimum value." promptTitle="Imput Parameters" prompt="Enter the stack diameter. With this permit, the stack must be at least 0.66 feet wide." sqref="B15" xr:uid="{3A5EDD7F-31E0-43BE-AB27-8217B01B2788}">
      <formula1>C15</formula1>
    </dataValidation>
    <dataValidation type="decimal" operator="greaterThanOrEqual" allowBlank="1" showErrorMessage="1" errorTitle="Parameter Below Minimum Value" error="Please enter a value for this parameter that is larger than the minimum value." promptTitle="Input Parameters" prompt="Enter the release height of this EPN. This must be at least 25 feet." sqref="B14" xr:uid="{9AAF6BA2-3452-4410-909E-225FC0B4D8F0}">
      <formula1>C14</formula1>
    </dataValidation>
    <dataValidation type="decimal" operator="lessThanOrEqual" allowBlank="1" showErrorMessage="1" errorTitle="Maximum Value Exceeded" error="Please enter a value for this parameter below the maximum value." promptTitle="Input Parameters" prompt="Enter the annual operating schedule in total hours per year. Note that this value must be below 300 hours per year." sqref="B25" xr:uid="{55CB2B68-FAD9-40E8-B0FB-A8A06473578E}">
      <formula1>D25</formula1>
    </dataValidation>
    <dataValidation allowBlank="1" showErrorMessage="1" promptTitle="Source Name" prompt="Enter the Source Name for the engine." sqref="B7" xr:uid="{661C5C5A-49EB-4A0A-A61B-8DBBA1084C1C}"/>
    <dataValidation allowBlank="1" showErrorMessage="1" prompt="select source of emission factor" sqref="D36:D38" xr:uid="{71A220A6-E9CB-4A36-8078-8D7FF443AA5E}"/>
    <dataValidation type="decimal" operator="lessThanOrEqual" allowBlank="1" showErrorMessage="1" promptTitle="Emission Factor" prompt="Enter the emission factor for carbon monoxide, in grams per horsepower-hour. The pounds per hour (lb/hr) and tons per year (tpy) will automatically calculate in cells to the right." sqref="B31" xr:uid="{68F2567B-40F9-4E10-8912-C6AD3798C42C}">
      <formula1>C44*453.6/$B$18</formula1>
    </dataValidation>
    <dataValidation type="decimal" operator="lessThanOrEqual" allowBlank="1" showErrorMessage="1" promptTitle="Emission Factor" prompt="Enter the emission factor for NOx, in grams per horsepower-hour. The pounds per hour (lb/hr) and tons per year (tpy) will automatically calculate in cells to the right." sqref="B30" xr:uid="{9C803F89-C396-49E8-B251-76935A4E80CD}">
      <formula1>C43*453.6/$B$18</formula1>
    </dataValidation>
    <dataValidation type="list" allowBlank="1" showInputMessage="1" showErrorMessage="1" sqref="D30:D35" xr:uid="{AA267828-BB62-42CC-A11B-652AE6CB37AB}">
      <formula1>EngDDSource</formula1>
    </dataValidation>
    <dataValidation type="decimal" operator="lessThanOrEqual" allowBlank="1" showErrorMessage="1" promptTitle="Input Parameters" prompt="Enter the ammonia concentration in ppm." sqref="B24" xr:uid="{AC0A56B0-3611-4C1D-B851-92FE3FF2E061}">
      <formula1>10</formula1>
    </dataValidation>
    <dataValidation type="decimal" operator="lessThanOrEqual" allowBlank="1" showErrorMessage="1" promptTitle="Input Parameters" prompt="Enter the sulfur content of the diesel." sqref="B20" xr:uid="{1CA463E2-F678-40DA-93CA-7645776E4C28}">
      <formula1>15</formula1>
    </dataValidation>
    <dataValidation type="list" allowBlank="1" showErrorMessage="1" promptTitle="Input Parameters" prompt="Is there a diesel filter? Select or enter yes or no." sqref="B23" xr:uid="{360DACE0-EBB1-41B7-98C2-2800D3C0DD6E}">
      <formula1>"Yes,No"</formula1>
    </dataValidation>
    <dataValidation type="list" allowBlank="1" showErrorMessage="1" promptTitle="Input Parameters" prompt="Is there an oxidation catalyst? Select or enter yes or no." sqref="B22" xr:uid="{9F1E5873-A198-471C-90A4-6DBDFB90840F}">
      <formula1>"Yes,No"</formula1>
    </dataValidation>
    <dataValidation type="decimal" operator="greaterThanOrEqual" allowBlank="1" showErrorMessage="1" errorTitle="Maximum Value Exceeded" error="Please enter a value for this parameter below the maximum value." prompt="Exhaust gas flow rate is deteremined by input parameters." sqref="B26" xr:uid="{64487D08-6E8E-4DFD-962D-350AC58E09CC}">
      <formula1>0</formula1>
    </dataValidation>
    <dataValidation type="list" allowBlank="1" showErrorMessage="1" promptTitle="Input Parameters" prompt="Is there a selective catalytic reduction (SCR) system for this engine? Select or enter yes or no." sqref="B21" xr:uid="{C314300C-08A2-43D8-A8AD-311529DCB31B}">
      <formula1>"Yes,No"</formula1>
    </dataValidation>
    <dataValidation operator="lessThanOrEqual" allowBlank="1" showErrorMessage="1" promptTitle="Emission Factor" prompt="Enter the emission factor for particulate matter with diameters 2.5 microns or less (PM2.5), in grams per horsepower-hour. The pounds per hour (lb/hr) and tons per year (tpy) will automatically calculate in cells to the right." sqref="B34" xr:uid="{1EA5B4E6-75E8-4262-B15F-F49C1984AFA1}"/>
    <dataValidation operator="lessThanOrEqual" allowBlank="1" showErrorMessage="1" promptTitle="Emission Factor" prompt="Enter the emission factor for particulate matter with diameters 10 microns or less (PM10), in grams per horsepower-hour. The pounds per hour (lb/hr) and tons per year (tpy) will automatically calculate in cells to the right." sqref="B33" xr:uid="{EBF985B7-B0ED-4EC1-A2BD-E7C4C00D15DC}"/>
    <dataValidation operator="lessThanOrEqual" allowBlank="1" showErrorMessage="1" promptTitle="Emission Factor" prompt="Enter the emission factor for particulate matter (PM), in grams per horsepower-hour. The pounds per hour (lb/hr) and tons per year (tpy) will automatically calculate in cells to the right." sqref="B32" xr:uid="{1FFC1A66-4AC9-494D-B719-5B805054F6EA}"/>
    <dataValidation allowBlank="1" showErrorMessage="1" prompt="This cell intentionally left blank for internal comments. All internal comments must be submitted prior to application submittal." sqref="G3:G66 F41" xr:uid="{E59F3178-51F9-45E4-BC02-470D80C0F861}"/>
    <dataValidation type="textLength" allowBlank="1" showErrorMessage="1" promptTitle="FIN" prompt="Input the Facility Identification Number for the engine.  Limited to 10 alphanumeric characters." sqref="B6" xr:uid="{481F3645-FF92-4C7A-BBF1-EC5B5DD8F5B5}">
      <formula1>0</formula1>
      <formula2>10</formula2>
    </dataValidation>
    <dataValidation type="decimal" operator="greaterThanOrEqual" allowBlank="1" showErrorMessage="1" errorTitle="Maximum Value Exceeded" error="Please enter a value for this parameter below the maximum value." promptTitle="Input Parameters" prompt="Enter the fuel consumption rate, in pounds of diesel per horsepower-hour._x000a_" sqref="B19" xr:uid="{353F473D-0108-4951-B6DF-9A18238A5F3A}">
      <formula1>0</formula1>
    </dataValidation>
  </dataValidations>
  <printOptions horizontalCentered="1"/>
  <pageMargins left="0.25" right="0.25" top="0.57395833333333302" bottom="0.61354166666666698" header="0.3" footer="0.3"/>
  <pageSetup scale="73" orientation="portrait" r:id="rId1"/>
  <headerFooter>
    <oddHeader>&amp;C&amp;"Arial,Regular"Engine Power Generation RAP Application</oddHeader>
    <oddFooter>&amp;L&amp;"Arial,Regular"Version: 1.0&amp;C&amp;"Arial,Regular"Sheet: &amp;A&amp;R&amp;"Arial,Regular"Page &amp;P</oddFooter>
  </headerFooter>
  <rowBreaks count="1" manualBreakCount="1">
    <brk id="52" max="16383" man="1"/>
  </rowBreaks>
  <tableParts count="4">
    <tablePart r:id="rId2"/>
    <tablePart r:id="rId3"/>
    <tablePart r:id="rId4"/>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5DB-C34E-4517-9293-09B406A39F5E}">
  <sheetPr codeName="Sheet4">
    <tabColor rgb="FFFFFFCC"/>
  </sheetPr>
  <dimension ref="A1:O64"/>
  <sheetViews>
    <sheetView showGridLines="0" zoomScaleNormal="100" workbookViewId="0">
      <selection sqref="A1:K1"/>
    </sheetView>
  </sheetViews>
  <sheetFormatPr defaultColWidth="0" defaultRowHeight="14.25" zeroHeight="1" x14ac:dyDescent="0.2"/>
  <cols>
    <col min="1" max="1" width="24" customWidth="1"/>
    <col min="2" max="2" width="15.625" customWidth="1"/>
    <col min="3" max="3" width="12.625" customWidth="1"/>
    <col min="4" max="11" width="9.625" customWidth="1"/>
    <col min="12" max="12" width="40.625" customWidth="1"/>
    <col min="13" max="13" width="2.625" customWidth="1"/>
    <col min="14" max="16384" width="9" hidden="1"/>
  </cols>
  <sheetData>
    <row r="1" spans="1:15" ht="18" x14ac:dyDescent="0.2">
      <c r="A1" s="861" t="s">
        <v>284</v>
      </c>
      <c r="B1" s="886"/>
      <c r="C1" s="862"/>
      <c r="D1" s="862"/>
      <c r="E1" s="862"/>
      <c r="F1" s="862"/>
      <c r="G1" s="862"/>
      <c r="H1" s="862"/>
      <c r="I1" s="862"/>
      <c r="J1" s="862"/>
      <c r="K1" s="862"/>
      <c r="L1" s="124" t="s">
        <v>60</v>
      </c>
      <c r="N1" t="s">
        <v>61</v>
      </c>
    </row>
    <row r="2" spans="1:15" ht="99.95" customHeight="1" x14ac:dyDescent="0.2">
      <c r="A2" s="880" t="s">
        <v>1076</v>
      </c>
      <c r="B2" s="763"/>
      <c r="C2" s="887"/>
      <c r="D2" s="887"/>
      <c r="E2" s="887"/>
      <c r="F2" s="887"/>
      <c r="G2" s="887"/>
      <c r="H2" s="887"/>
      <c r="I2" s="887"/>
      <c r="J2" s="887"/>
      <c r="K2" s="887"/>
      <c r="L2" s="560" t="s">
        <v>63</v>
      </c>
    </row>
    <row r="3" spans="1:15" x14ac:dyDescent="0.2">
      <c r="A3" s="476"/>
      <c r="B3" s="509"/>
      <c r="C3" s="264"/>
      <c r="D3" s="264"/>
      <c r="E3" s="264"/>
      <c r="F3" s="264"/>
      <c r="G3" s="264"/>
      <c r="H3" s="264"/>
      <c r="L3" s="559"/>
    </row>
    <row r="4" spans="1:15" ht="15" x14ac:dyDescent="0.2">
      <c r="A4" s="162" t="str">
        <f>"I. Engine "&amp;Reference!F38&amp;" Information"</f>
        <v>I. Engine Cap Information</v>
      </c>
      <c r="B4" s="163"/>
      <c r="C4" s="172"/>
      <c r="D4" s="172"/>
      <c r="E4" s="172"/>
      <c r="F4" s="172"/>
      <c r="G4" s="172"/>
      <c r="H4" s="172"/>
      <c r="I4" s="172"/>
      <c r="J4" s="172"/>
      <c r="K4" s="172"/>
      <c r="L4" s="546"/>
    </row>
    <row r="5" spans="1:15" ht="15" customHeight="1" x14ac:dyDescent="0.2">
      <c r="A5" s="244" t="s">
        <v>72</v>
      </c>
      <c r="B5" s="239" t="s">
        <v>73</v>
      </c>
      <c r="C5" s="264"/>
      <c r="D5" s="264"/>
      <c r="E5" s="264"/>
      <c r="F5" s="264"/>
      <c r="G5" s="264"/>
      <c r="H5" s="264"/>
      <c r="L5" s="546"/>
    </row>
    <row r="6" spans="1:15" x14ac:dyDescent="0.2">
      <c r="A6" s="240" t="s">
        <v>285</v>
      </c>
      <c r="B6" s="173"/>
      <c r="C6" s="264"/>
      <c r="D6" s="264"/>
      <c r="E6" s="264"/>
      <c r="F6" s="264"/>
      <c r="G6" s="264"/>
      <c r="H6" s="264"/>
      <c r="L6" s="546"/>
    </row>
    <row r="7" spans="1:15" x14ac:dyDescent="0.2">
      <c r="A7" s="474" t="s">
        <v>286</v>
      </c>
      <c r="B7" s="173"/>
      <c r="D7" s="264"/>
      <c r="E7" s="264"/>
      <c r="F7" s="264"/>
      <c r="G7" s="264"/>
      <c r="H7" s="264"/>
      <c r="L7" s="546"/>
    </row>
    <row r="8" spans="1:15" x14ac:dyDescent="0.2">
      <c r="A8" s="474" t="s">
        <v>287</v>
      </c>
      <c r="B8" s="479"/>
      <c r="D8" s="264"/>
      <c r="E8" s="264"/>
      <c r="F8" s="264"/>
      <c r="G8" s="264"/>
      <c r="H8" s="264"/>
      <c r="L8" s="546"/>
    </row>
    <row r="9" spans="1:15" ht="28.5" x14ac:dyDescent="0.2">
      <c r="A9" s="478" t="s">
        <v>288</v>
      </c>
      <c r="B9" s="175"/>
      <c r="D9" s="264"/>
      <c r="E9" s="264"/>
      <c r="F9" s="264"/>
      <c r="G9" s="264"/>
      <c r="H9" s="264"/>
      <c r="L9" s="546"/>
    </row>
    <row r="10" spans="1:15" ht="28.5" x14ac:dyDescent="0.2">
      <c r="A10" s="480" t="s">
        <v>289</v>
      </c>
      <c r="B10" s="481"/>
      <c r="D10" s="264"/>
      <c r="E10" s="264"/>
      <c r="F10" s="264"/>
      <c r="G10" s="264"/>
      <c r="H10" s="264"/>
      <c r="L10" s="546"/>
    </row>
    <row r="11" spans="1:15" ht="28.5" x14ac:dyDescent="0.2">
      <c r="A11" s="480" t="s">
        <v>290</v>
      </c>
      <c r="B11" s="569">
        <f>'PI-1-PowerEngine'!B78</f>
        <v>0</v>
      </c>
      <c r="C11" s="302"/>
      <c r="D11" s="302"/>
      <c r="E11" s="302"/>
      <c r="F11" s="302"/>
      <c r="G11" s="302"/>
      <c r="H11" s="302"/>
      <c r="I11" s="471"/>
      <c r="J11" s="471"/>
      <c r="K11" s="471"/>
      <c r="L11" s="546"/>
    </row>
    <row r="12" spans="1:15" x14ac:dyDescent="0.2">
      <c r="A12" s="476"/>
      <c r="B12" s="509"/>
      <c r="C12" s="264"/>
      <c r="D12" s="264"/>
      <c r="E12" s="264"/>
      <c r="F12" s="264"/>
      <c r="G12" s="264"/>
      <c r="H12" s="264"/>
      <c r="L12" s="546"/>
    </row>
    <row r="13" spans="1:15" ht="15" x14ac:dyDescent="0.2">
      <c r="A13" s="162" t="s">
        <v>291</v>
      </c>
      <c r="B13" s="163"/>
      <c r="C13" s="163"/>
      <c r="D13" s="163"/>
      <c r="E13" s="163"/>
      <c r="F13" s="163"/>
      <c r="G13" s="163"/>
      <c r="H13" s="163"/>
      <c r="I13" s="163"/>
      <c r="J13" s="163"/>
      <c r="K13" s="163"/>
      <c r="L13" s="546"/>
    </row>
    <row r="14" spans="1:15" ht="45" customHeight="1" x14ac:dyDescent="0.2">
      <c r="A14" s="507" t="s">
        <v>292</v>
      </c>
      <c r="B14" s="510" t="s">
        <v>216</v>
      </c>
      <c r="C14" s="515" t="s">
        <v>293</v>
      </c>
      <c r="D14" s="895" t="s">
        <v>294</v>
      </c>
      <c r="E14" s="896"/>
      <c r="F14" s="896"/>
      <c r="G14" s="896"/>
      <c r="H14" s="896"/>
      <c r="I14" s="896"/>
      <c r="J14" s="896"/>
      <c r="K14" s="896"/>
      <c r="L14" s="546"/>
    </row>
    <row r="15" spans="1:15" x14ac:dyDescent="0.2">
      <c r="A15" s="282" t="s">
        <v>214</v>
      </c>
      <c r="B15" s="158">
        <f>ENGINE1!$B$6</f>
        <v>0</v>
      </c>
      <c r="C15" s="335">
        <f>ENGINE1!$B$25</f>
        <v>0</v>
      </c>
      <c r="D15" s="884" t="str">
        <f>IF(C15&gt;300,"Individual operational hours is in exceedence of the RAP conditions. ","Individual operational hours are within permitted limit. ")</f>
        <v xml:space="preserve">Individual operational hours are within permitted limit. </v>
      </c>
      <c r="E15" s="885"/>
      <c r="F15" s="885"/>
      <c r="G15" s="885"/>
      <c r="H15" s="885"/>
      <c r="I15" s="885"/>
      <c r="J15" s="885"/>
      <c r="K15" s="885"/>
      <c r="L15" s="546"/>
    </row>
    <row r="16" spans="1:15" x14ac:dyDescent="0.2">
      <c r="A16" s="282" t="s">
        <v>274</v>
      </c>
      <c r="B16" s="158">
        <f>ENGINE2!$B$6</f>
        <v>0</v>
      </c>
      <c r="C16" s="335">
        <f>ENGINE2!$B$25</f>
        <v>0</v>
      </c>
      <c r="D16" s="884" t="str">
        <f t="shared" ref="D16:D24" si="0">IF(C16&gt;300,"Individual operational hours is in exceedence of the RAP conditions. ","Individual operational hours are within permitted limit. ")</f>
        <v xml:space="preserve">Individual operational hours are within permitted limit. </v>
      </c>
      <c r="E16" s="885"/>
      <c r="F16" s="885"/>
      <c r="G16" s="885"/>
      <c r="H16" s="885"/>
      <c r="I16" s="885"/>
      <c r="J16" s="885"/>
      <c r="K16" s="885"/>
      <c r="L16" s="546"/>
      <c r="N16" t="b">
        <f t="shared" ref="N16:N23" si="1">AND($B$11&lt;&gt;0,$B$11&lt;O16,C16=0)</f>
        <v>0</v>
      </c>
      <c r="O16">
        <v>2</v>
      </c>
    </row>
    <row r="17" spans="1:15" x14ac:dyDescent="0.2">
      <c r="A17" s="282" t="s">
        <v>276</v>
      </c>
      <c r="B17" s="158">
        <f>ENGINE3!$B$6</f>
        <v>0</v>
      </c>
      <c r="C17" s="335">
        <f>ENGINE3!$B$25</f>
        <v>0</v>
      </c>
      <c r="D17" s="884" t="str">
        <f t="shared" si="0"/>
        <v xml:space="preserve">Individual operational hours are within permitted limit. </v>
      </c>
      <c r="E17" s="885"/>
      <c r="F17" s="885"/>
      <c r="G17" s="885"/>
      <c r="H17" s="885"/>
      <c r="I17" s="885"/>
      <c r="J17" s="885"/>
      <c r="K17" s="885"/>
      <c r="L17" s="546"/>
      <c r="N17" t="b">
        <f t="shared" si="1"/>
        <v>0</v>
      </c>
      <c r="O17">
        <v>3</v>
      </c>
    </row>
    <row r="18" spans="1:15" x14ac:dyDescent="0.2">
      <c r="A18" s="282" t="s">
        <v>277</v>
      </c>
      <c r="B18" s="158">
        <f>ENGINE4!$B$6</f>
        <v>0</v>
      </c>
      <c r="C18" s="335">
        <f>ENGINE4!$B$25</f>
        <v>0</v>
      </c>
      <c r="D18" s="884" t="str">
        <f t="shared" si="0"/>
        <v xml:space="preserve">Individual operational hours are within permitted limit. </v>
      </c>
      <c r="E18" s="885"/>
      <c r="F18" s="885"/>
      <c r="G18" s="885"/>
      <c r="H18" s="885"/>
      <c r="I18" s="885"/>
      <c r="J18" s="885"/>
      <c r="K18" s="885"/>
      <c r="L18" s="546"/>
      <c r="N18" t="b">
        <f t="shared" si="1"/>
        <v>0</v>
      </c>
      <c r="O18">
        <v>4</v>
      </c>
    </row>
    <row r="19" spans="1:15" x14ac:dyDescent="0.2">
      <c r="A19" s="282" t="s">
        <v>278</v>
      </c>
      <c r="B19" s="158">
        <f>ENGINE5!$B$6</f>
        <v>0</v>
      </c>
      <c r="C19" s="517">
        <f>ENGINE5!$B$25</f>
        <v>0</v>
      </c>
      <c r="D19" s="884" t="str">
        <f t="shared" si="0"/>
        <v xml:space="preserve">Individual operational hours are within permitted limit. </v>
      </c>
      <c r="E19" s="885"/>
      <c r="F19" s="885"/>
      <c r="G19" s="885"/>
      <c r="H19" s="885"/>
      <c r="I19" s="885"/>
      <c r="J19" s="885"/>
      <c r="K19" s="885"/>
      <c r="L19" s="546"/>
      <c r="N19" t="b">
        <f t="shared" si="1"/>
        <v>0</v>
      </c>
      <c r="O19">
        <v>5</v>
      </c>
    </row>
    <row r="20" spans="1:15" x14ac:dyDescent="0.2">
      <c r="A20" s="282" t="s">
        <v>279</v>
      </c>
      <c r="B20" s="158">
        <f>ENGINE6!$B$6</f>
        <v>0</v>
      </c>
      <c r="C20" s="335">
        <f>ENGINE6!$B$25</f>
        <v>0</v>
      </c>
      <c r="D20" s="884" t="str">
        <f t="shared" si="0"/>
        <v xml:space="preserve">Individual operational hours are within permitted limit. </v>
      </c>
      <c r="E20" s="885"/>
      <c r="F20" s="885"/>
      <c r="G20" s="885"/>
      <c r="H20" s="885"/>
      <c r="I20" s="885"/>
      <c r="J20" s="885"/>
      <c r="K20" s="885"/>
      <c r="L20" s="546"/>
      <c r="N20" t="b">
        <f t="shared" si="1"/>
        <v>0</v>
      </c>
      <c r="O20">
        <v>6</v>
      </c>
    </row>
    <row r="21" spans="1:15" x14ac:dyDescent="0.2">
      <c r="A21" s="282" t="s">
        <v>280</v>
      </c>
      <c r="B21" s="158">
        <f>ENGINE7!$B$6</f>
        <v>0</v>
      </c>
      <c r="C21" s="335">
        <f>ENGINE7!$B$25</f>
        <v>0</v>
      </c>
      <c r="D21" s="884" t="str">
        <f t="shared" si="0"/>
        <v xml:space="preserve">Individual operational hours are within permitted limit. </v>
      </c>
      <c r="E21" s="885"/>
      <c r="F21" s="885"/>
      <c r="G21" s="885"/>
      <c r="H21" s="885"/>
      <c r="I21" s="885"/>
      <c r="J21" s="885"/>
      <c r="K21" s="885"/>
      <c r="L21" s="546"/>
      <c r="N21" t="b">
        <f t="shared" si="1"/>
        <v>0</v>
      </c>
      <c r="O21">
        <v>7</v>
      </c>
    </row>
    <row r="22" spans="1:15" x14ac:dyDescent="0.2">
      <c r="A22" s="282" t="s">
        <v>281</v>
      </c>
      <c r="B22" s="158">
        <f>ENGINE8!$B$6</f>
        <v>0</v>
      </c>
      <c r="C22" s="335">
        <f>ENGINE8!$B$25</f>
        <v>0</v>
      </c>
      <c r="D22" s="884" t="str">
        <f t="shared" si="0"/>
        <v xml:space="preserve">Individual operational hours are within permitted limit. </v>
      </c>
      <c r="E22" s="885"/>
      <c r="F22" s="885"/>
      <c r="G22" s="885"/>
      <c r="H22" s="885"/>
      <c r="I22" s="885"/>
      <c r="J22" s="885"/>
      <c r="K22" s="885"/>
      <c r="L22" s="546"/>
      <c r="N22" t="b">
        <f t="shared" si="1"/>
        <v>0</v>
      </c>
      <c r="O22">
        <v>8</v>
      </c>
    </row>
    <row r="23" spans="1:15" x14ac:dyDescent="0.2">
      <c r="A23" s="282" t="s">
        <v>282</v>
      </c>
      <c r="B23" s="158">
        <f>ENGINE9!$B$6</f>
        <v>0</v>
      </c>
      <c r="C23" s="335">
        <f>ENGINE9!$B$25</f>
        <v>0</v>
      </c>
      <c r="D23" s="884" t="str">
        <f t="shared" si="0"/>
        <v xml:space="preserve">Individual operational hours are within permitted limit. </v>
      </c>
      <c r="E23" s="885"/>
      <c r="F23" s="885"/>
      <c r="G23" s="885"/>
      <c r="H23" s="885"/>
      <c r="I23" s="885"/>
      <c r="J23" s="885"/>
      <c r="K23" s="885"/>
      <c r="L23" s="546"/>
      <c r="N23" t="b">
        <f t="shared" si="1"/>
        <v>0</v>
      </c>
      <c r="O23">
        <v>9</v>
      </c>
    </row>
    <row r="24" spans="1:15" x14ac:dyDescent="0.2">
      <c r="A24" s="283" t="s">
        <v>283</v>
      </c>
      <c r="B24" s="508">
        <f>ENGINE10!$B$6</f>
        <v>0</v>
      </c>
      <c r="C24" s="516">
        <f>ENGINE10!$B$25</f>
        <v>0</v>
      </c>
      <c r="D24" s="893" t="str">
        <f t="shared" si="0"/>
        <v xml:space="preserve">Individual operational hours are within permitted limit. </v>
      </c>
      <c r="E24" s="894"/>
      <c r="F24" s="894"/>
      <c r="G24" s="894"/>
      <c r="H24" s="894"/>
      <c r="I24" s="894"/>
      <c r="J24" s="894"/>
      <c r="K24" s="894"/>
      <c r="L24" s="546"/>
      <c r="N24" t="b">
        <f>AND($B$11&lt;&gt;0,$B$11&lt;O24,C24=0)</f>
        <v>0</v>
      </c>
      <c r="O24">
        <v>10</v>
      </c>
    </row>
    <row r="25" spans="1:15" ht="15" x14ac:dyDescent="0.2">
      <c r="A25" s="506" t="s">
        <v>295</v>
      </c>
      <c r="B25" s="511"/>
      <c r="C25" s="643">
        <f>IF(SUM(C15:C24)&lt;301,SUM(C15:C24),"300*")</f>
        <v>0</v>
      </c>
      <c r="D25" s="897" t="str">
        <f>IF(MAX(C15:C24)&gt;300,"Individual engine is in exceedence of the RAP conditions.",IF($C$25&gt;300,"*Annual operation of all engines cannot exceed 300 hours.","Total site operating hours set at or below 300 hours annually."))</f>
        <v>Total site operating hours set at or below 300 hours annually.</v>
      </c>
      <c r="E25" s="897"/>
      <c r="F25" s="897"/>
      <c r="G25" s="897"/>
      <c r="H25" s="897"/>
      <c r="I25" s="897"/>
      <c r="J25" s="897"/>
      <c r="K25" s="898"/>
      <c r="L25" s="650"/>
    </row>
    <row r="26" spans="1:15" x14ac:dyDescent="0.2">
      <c r="L26" s="546"/>
    </row>
    <row r="27" spans="1:15" ht="15" x14ac:dyDescent="0.2">
      <c r="A27" s="162" t="s">
        <v>296</v>
      </c>
      <c r="B27" s="163"/>
      <c r="C27" s="163"/>
      <c r="D27" s="475"/>
      <c r="E27" s="475"/>
      <c r="F27" s="475"/>
      <c r="G27" s="475"/>
      <c r="H27" s="475"/>
      <c r="I27" s="475"/>
      <c r="J27" s="475"/>
      <c r="K27" s="475"/>
      <c r="L27" s="546"/>
    </row>
    <row r="28" spans="1:15" ht="15" x14ac:dyDescent="0.2">
      <c r="A28" s="244" t="s">
        <v>292</v>
      </c>
      <c r="B28" s="63" t="s">
        <v>216</v>
      </c>
      <c r="C28" s="221" t="s">
        <v>297</v>
      </c>
      <c r="D28" s="221" t="s">
        <v>247</v>
      </c>
      <c r="E28" s="221" t="s">
        <v>248</v>
      </c>
      <c r="F28" s="221" t="s">
        <v>298</v>
      </c>
      <c r="G28" s="221" t="s">
        <v>299</v>
      </c>
      <c r="H28" s="221" t="s">
        <v>251</v>
      </c>
      <c r="I28" s="221" t="s">
        <v>300</v>
      </c>
      <c r="J28" s="221" t="s">
        <v>301</v>
      </c>
      <c r="K28" s="222" t="s">
        <v>302</v>
      </c>
      <c r="L28" s="546"/>
    </row>
    <row r="29" spans="1:15" x14ac:dyDescent="0.2">
      <c r="A29" s="334" t="s">
        <v>214</v>
      </c>
      <c r="B29" s="158">
        <f>ENGINE1!$B$6</f>
        <v>0</v>
      </c>
      <c r="C29" s="582">
        <f>INDEX(Eng1_Emissions[lb/hr],MATCH(C$28,Eng1_Emissions[Pollutant],0))</f>
        <v>0</v>
      </c>
      <c r="D29" s="582">
        <f>INDEX(Eng1_Emissions[lb/hr],MATCH(D$28,Eng1_Emissions[Pollutant],0))</f>
        <v>0</v>
      </c>
      <c r="E29" s="582">
        <f>INDEX(Eng1_Emissions[lb/hr],MATCH(E$28,Eng1_Emissions[Pollutant],0))</f>
        <v>0</v>
      </c>
      <c r="F29" s="582">
        <f>INDEX(Eng1_Emissions[lb/hr],MATCH(F$28,Eng1_Emissions[Pollutant],0))</f>
        <v>0</v>
      </c>
      <c r="G29" s="582">
        <f>INDEX(Eng1_Emissions[lb/hr],MATCH(G$28,Eng1_Emissions[Pollutant],0))</f>
        <v>0</v>
      </c>
      <c r="H29" s="582">
        <f>INDEX(Eng1_Emissions[lb/hr],MATCH(H$28,Eng1_Emissions[Pollutant],0))</f>
        <v>0</v>
      </c>
      <c r="I29" s="582">
        <f>INDEX(Eng1_Emissions[lb/hr],MATCH(I$28,Eng1_Emissions[Pollutant],0))</f>
        <v>0</v>
      </c>
      <c r="J29" s="582">
        <f>INDEX(Eng1_Emissions[lb/hr],MATCH(J$28,Eng1_Emissions[Pollutant],0))</f>
        <v>0</v>
      </c>
      <c r="K29" s="583">
        <f>INDEX(Eng1_Emissions[lb/hr],MATCH(K$28,Eng1_Emissions[Pollutant],0))</f>
        <v>0</v>
      </c>
      <c r="L29" s="546"/>
    </row>
    <row r="30" spans="1:15" x14ac:dyDescent="0.2">
      <c r="A30" s="334" t="s">
        <v>274</v>
      </c>
      <c r="B30" s="158">
        <f>ENGINE2!$B$6</f>
        <v>0</v>
      </c>
      <c r="C30" s="582">
        <f>INDEX(Eng2_Emissions[lb/hr],MATCH(C$28,Eng2_Emissions[Pollutant],0))</f>
        <v>0</v>
      </c>
      <c r="D30" s="582">
        <f>INDEX(Eng2_Emissions[lb/hr],MATCH(D$28,Eng2_Emissions[Pollutant],0))</f>
        <v>0</v>
      </c>
      <c r="E30" s="582">
        <f>INDEX(Eng2_Emissions[lb/hr],MATCH(E$28,Eng2_Emissions[Pollutant],0))</f>
        <v>0</v>
      </c>
      <c r="F30" s="582">
        <f>INDEX(Eng2_Emissions[lb/hr],MATCH(F$28,Eng2_Emissions[Pollutant],0))</f>
        <v>0</v>
      </c>
      <c r="G30" s="582">
        <f>INDEX(Eng2_Emissions[lb/hr],MATCH(G$28,Eng2_Emissions[Pollutant],0))</f>
        <v>0</v>
      </c>
      <c r="H30" s="582">
        <f>INDEX(Eng2_Emissions[lb/hr],MATCH(H$28,Eng2_Emissions[Pollutant],0))</f>
        <v>0</v>
      </c>
      <c r="I30" s="582">
        <f>INDEX(Eng2_Emissions[lb/hr],MATCH(I$28,Eng2_Emissions[Pollutant],0))</f>
        <v>0</v>
      </c>
      <c r="J30" s="582">
        <f>INDEX(Eng2_Emissions[lb/hr],MATCH(J$28,Eng2_Emissions[Pollutant],0))</f>
        <v>0</v>
      </c>
      <c r="K30" s="583">
        <f>INDEX(Eng2_Emissions[lb/hr],MATCH(K$28,Eng2_Emissions[Pollutant],0))</f>
        <v>0</v>
      </c>
      <c r="L30" s="546"/>
      <c r="N30" t="b">
        <f>AND($B$11&lt;&gt;0,$B$11&lt;O30,SUM(EngSum_ST[[#This Row],[NOx]:[NH3]])=0)</f>
        <v>0</v>
      </c>
      <c r="O30">
        <v>2</v>
      </c>
    </row>
    <row r="31" spans="1:15" x14ac:dyDescent="0.2">
      <c r="A31" s="334" t="s">
        <v>276</v>
      </c>
      <c r="B31" s="158">
        <f>ENGINE3!$B$6</f>
        <v>0</v>
      </c>
      <c r="C31" s="582">
        <f>INDEX(Eng3_Emissions[lb/hr],MATCH(C$28,Eng3_Emissions[Pollutant],0))</f>
        <v>0</v>
      </c>
      <c r="D31" s="582">
        <f>INDEX(Eng3_Emissions[lb/hr],MATCH(D$28,Eng3_Emissions[Pollutant],0))</f>
        <v>0</v>
      </c>
      <c r="E31" s="582">
        <f>INDEX(Eng3_Emissions[lb/hr],MATCH(E$28,Eng3_Emissions[Pollutant],0))</f>
        <v>0</v>
      </c>
      <c r="F31" s="582">
        <f>INDEX(Eng3_Emissions[lb/hr],MATCH(F$28,Eng3_Emissions[Pollutant],0))</f>
        <v>0</v>
      </c>
      <c r="G31" s="582">
        <f>INDEX(Eng3_Emissions[lb/hr],MATCH(G$28,Eng3_Emissions[Pollutant],0))</f>
        <v>0</v>
      </c>
      <c r="H31" s="582">
        <f>INDEX(Eng3_Emissions[lb/hr],MATCH(H$28,Eng3_Emissions[Pollutant],0))</f>
        <v>0</v>
      </c>
      <c r="I31" s="582">
        <f>INDEX(Eng3_Emissions[lb/hr],MATCH(I$28,Eng3_Emissions[Pollutant],0))</f>
        <v>0</v>
      </c>
      <c r="J31" s="582">
        <f>INDEX(Eng3_Emissions[lb/hr],MATCH(J$28,Eng3_Emissions[Pollutant],0))</f>
        <v>0</v>
      </c>
      <c r="K31" s="583">
        <f>INDEX(Eng3_Emissions[lb/hr],MATCH(K$28,Eng3_Emissions[Pollutant],0))</f>
        <v>0</v>
      </c>
      <c r="L31" s="546"/>
      <c r="N31" t="b">
        <f>AND($B$11&lt;&gt;0,$B$11&lt;O31,SUM(EngSum_ST[[#This Row],[NOx]:[NH3]])=0)</f>
        <v>0</v>
      </c>
      <c r="O31">
        <v>3</v>
      </c>
    </row>
    <row r="32" spans="1:15" x14ac:dyDescent="0.2">
      <c r="A32" s="334" t="s">
        <v>277</v>
      </c>
      <c r="B32" s="158">
        <f>ENGINE4!$B$6</f>
        <v>0</v>
      </c>
      <c r="C32" s="582">
        <f>INDEX(Eng4_Emissions[lb/hr],MATCH(C$28,Eng4_Emissions[Pollutant],0))</f>
        <v>0</v>
      </c>
      <c r="D32" s="582">
        <f>INDEX(Eng4_Emissions[lb/hr],MATCH(D$28,Eng4_Emissions[Pollutant],0))</f>
        <v>0</v>
      </c>
      <c r="E32" s="582">
        <f>INDEX(Eng4_Emissions[lb/hr],MATCH(E$28,Eng4_Emissions[Pollutant],0))</f>
        <v>0</v>
      </c>
      <c r="F32" s="582">
        <f>INDEX(Eng4_Emissions[lb/hr],MATCH(F$28,Eng4_Emissions[Pollutant],0))</f>
        <v>0</v>
      </c>
      <c r="G32" s="582">
        <f>INDEX(Eng4_Emissions[lb/hr],MATCH(G$28,Eng4_Emissions[Pollutant],0))</f>
        <v>0</v>
      </c>
      <c r="H32" s="582">
        <f>INDEX(Eng4_Emissions[lb/hr],MATCH(H$28,Eng4_Emissions[Pollutant],0))</f>
        <v>0</v>
      </c>
      <c r="I32" s="582">
        <f>INDEX(Eng4_Emissions[lb/hr],MATCH(I$28,Eng4_Emissions[Pollutant],0))</f>
        <v>0</v>
      </c>
      <c r="J32" s="582">
        <f>INDEX(Eng4_Emissions[lb/hr],MATCH(J$28,Eng4_Emissions[Pollutant],0))</f>
        <v>0</v>
      </c>
      <c r="K32" s="583">
        <f>INDEX(Eng4_Emissions[lb/hr],MATCH(K$28,Eng4_Emissions[Pollutant],0))</f>
        <v>0</v>
      </c>
      <c r="L32" s="546"/>
      <c r="N32" t="b">
        <f>AND($B$11&lt;&gt;0,$B$11&lt;O32,SUM(EngSum_ST[[#This Row],[NOx]:[NH3]])=0)</f>
        <v>0</v>
      </c>
      <c r="O32">
        <v>4</v>
      </c>
    </row>
    <row r="33" spans="1:15" x14ac:dyDescent="0.2">
      <c r="A33" s="334" t="s">
        <v>278</v>
      </c>
      <c r="B33" s="158">
        <f>ENGINE5!$B$6</f>
        <v>0</v>
      </c>
      <c r="C33" s="582">
        <f>INDEX(Eng5_Emissions[lb/hr],MATCH(C$28,Eng5_Emissions[Pollutant],0))</f>
        <v>0</v>
      </c>
      <c r="D33" s="582">
        <f>INDEX(Eng5_Emissions[lb/hr],MATCH(D$28,Eng5_Emissions[Pollutant],0))</f>
        <v>0</v>
      </c>
      <c r="E33" s="582">
        <f>INDEX(Eng5_Emissions[lb/hr],MATCH(E$28,Eng5_Emissions[Pollutant],0))</f>
        <v>0</v>
      </c>
      <c r="F33" s="582">
        <f>INDEX(Eng5_Emissions[lb/hr],MATCH(F$28,Eng5_Emissions[Pollutant],0))</f>
        <v>0</v>
      </c>
      <c r="G33" s="582">
        <f>INDEX(Eng5_Emissions[lb/hr],MATCH(G$28,Eng5_Emissions[Pollutant],0))</f>
        <v>0</v>
      </c>
      <c r="H33" s="582">
        <f>INDEX(Eng5_Emissions[lb/hr],MATCH(H$28,Eng5_Emissions[Pollutant],0))</f>
        <v>0</v>
      </c>
      <c r="I33" s="582">
        <f>INDEX(Eng5_Emissions[lb/hr],MATCH(I$28,Eng5_Emissions[Pollutant],0))</f>
        <v>0</v>
      </c>
      <c r="J33" s="582">
        <f>INDEX(Eng5_Emissions[lb/hr],MATCH(J$28,Eng5_Emissions[Pollutant],0))</f>
        <v>0</v>
      </c>
      <c r="K33" s="583">
        <f>INDEX(Eng5_Emissions[lb/hr],MATCH(K$28,Eng5_Emissions[Pollutant],0))</f>
        <v>0</v>
      </c>
      <c r="L33" s="546"/>
      <c r="N33" t="b">
        <f>AND($B$11&lt;&gt;0,$B$11&lt;O33,SUM(EngSum_ST[[#This Row],[NOx]:[NH3]])=0)</f>
        <v>0</v>
      </c>
      <c r="O33">
        <v>5</v>
      </c>
    </row>
    <row r="34" spans="1:15" x14ac:dyDescent="0.2">
      <c r="A34" s="334" t="s">
        <v>279</v>
      </c>
      <c r="B34" s="158">
        <f>ENGINE6!$B$6</f>
        <v>0</v>
      </c>
      <c r="C34" s="582">
        <f>INDEX(Eng6_Emissions[lb/hr],MATCH(C$28,Eng6_Emissions[Pollutant],0))</f>
        <v>0</v>
      </c>
      <c r="D34" s="582">
        <f>INDEX(Eng6_Emissions[lb/hr],MATCH(D$28,Eng6_Emissions[Pollutant],0))</f>
        <v>0</v>
      </c>
      <c r="E34" s="582">
        <f>INDEX(Eng6_Emissions[lb/hr],MATCH(E$28,Eng6_Emissions[Pollutant],0))</f>
        <v>0</v>
      </c>
      <c r="F34" s="582">
        <f>INDEX(Eng6_Emissions[lb/hr],MATCH(F$28,Eng6_Emissions[Pollutant],0))</f>
        <v>0</v>
      </c>
      <c r="G34" s="582">
        <f>INDEX(Eng6_Emissions[lb/hr],MATCH(G$28,Eng6_Emissions[Pollutant],0))</f>
        <v>0</v>
      </c>
      <c r="H34" s="582">
        <f>INDEX(Eng6_Emissions[lb/hr],MATCH(H$28,Eng6_Emissions[Pollutant],0))</f>
        <v>0</v>
      </c>
      <c r="I34" s="582">
        <f>INDEX(Eng6_Emissions[lb/hr],MATCH(I$28,Eng6_Emissions[Pollutant],0))</f>
        <v>0</v>
      </c>
      <c r="J34" s="582">
        <f>INDEX(Eng6_Emissions[lb/hr],MATCH(J$28,Eng6_Emissions[Pollutant],0))</f>
        <v>0</v>
      </c>
      <c r="K34" s="583">
        <f>INDEX(Eng6_Emissions[lb/hr],MATCH(K$28,Eng6_Emissions[Pollutant],0))</f>
        <v>0</v>
      </c>
      <c r="L34" s="546"/>
      <c r="N34" t="b">
        <f>AND($B$11&lt;&gt;0,$B$11&lt;O34,SUM(EngSum_ST[[#This Row],[NOx]:[NH3]])=0)</f>
        <v>0</v>
      </c>
      <c r="O34">
        <v>6</v>
      </c>
    </row>
    <row r="35" spans="1:15" x14ac:dyDescent="0.2">
      <c r="A35" s="334" t="s">
        <v>280</v>
      </c>
      <c r="B35" s="158">
        <f>ENGINE7!$B$6</f>
        <v>0</v>
      </c>
      <c r="C35" s="582">
        <f>INDEX(Eng7_Emissions[lb/hr],MATCH(C$28,Eng7_Emissions[Pollutant],0))</f>
        <v>0</v>
      </c>
      <c r="D35" s="582">
        <f>INDEX(Eng7_Emissions[lb/hr],MATCH(D$28,Eng7_Emissions[Pollutant],0))</f>
        <v>0</v>
      </c>
      <c r="E35" s="582">
        <f>INDEX(Eng7_Emissions[lb/hr],MATCH(E$28,Eng7_Emissions[Pollutant],0))</f>
        <v>0</v>
      </c>
      <c r="F35" s="582">
        <f>INDEX(Eng7_Emissions[lb/hr],MATCH(F$28,Eng7_Emissions[Pollutant],0))</f>
        <v>0</v>
      </c>
      <c r="G35" s="582">
        <f>INDEX(Eng7_Emissions[lb/hr],MATCH(G$28,Eng7_Emissions[Pollutant],0))</f>
        <v>0</v>
      </c>
      <c r="H35" s="582">
        <f>INDEX(Eng7_Emissions[lb/hr],MATCH(H$28,Eng7_Emissions[Pollutant],0))</f>
        <v>0</v>
      </c>
      <c r="I35" s="582">
        <f>INDEX(Eng7_Emissions[lb/hr],MATCH(I$28,Eng7_Emissions[Pollutant],0))</f>
        <v>0</v>
      </c>
      <c r="J35" s="582">
        <f>INDEX(Eng7_Emissions[lb/hr],MATCH(J$28,Eng7_Emissions[Pollutant],0))</f>
        <v>0</v>
      </c>
      <c r="K35" s="583">
        <f>INDEX(Eng7_Emissions[lb/hr],MATCH(K$28,Eng7_Emissions[Pollutant],0))</f>
        <v>0</v>
      </c>
      <c r="L35" s="546"/>
      <c r="N35" t="b">
        <f>AND($B$11&lt;&gt;0,$B$11&lt;O35,SUM(EngSum_ST[[#This Row],[NOx]:[NH3]])=0)</f>
        <v>0</v>
      </c>
      <c r="O35">
        <v>7</v>
      </c>
    </row>
    <row r="36" spans="1:15" x14ac:dyDescent="0.2">
      <c r="A36" s="334" t="s">
        <v>281</v>
      </c>
      <c r="B36" s="158">
        <f>ENGINE8!$B$6</f>
        <v>0</v>
      </c>
      <c r="C36" s="582">
        <f>INDEX(Eng8_Emissions[lb/hr],MATCH(C$28,Eng8_Emissions[Pollutant],0))</f>
        <v>0</v>
      </c>
      <c r="D36" s="582">
        <f>INDEX(Eng8_Emissions[lb/hr],MATCH(D$28,Eng8_Emissions[Pollutant],0))</f>
        <v>0</v>
      </c>
      <c r="E36" s="582">
        <f>INDEX(Eng8_Emissions[lb/hr],MATCH(E$28,Eng8_Emissions[Pollutant],0))</f>
        <v>0</v>
      </c>
      <c r="F36" s="582">
        <f>INDEX(Eng8_Emissions[lb/hr],MATCH(F$28,Eng8_Emissions[Pollutant],0))</f>
        <v>0</v>
      </c>
      <c r="G36" s="582">
        <f>INDEX(Eng8_Emissions[lb/hr],MATCH(G$28,Eng8_Emissions[Pollutant],0))</f>
        <v>0</v>
      </c>
      <c r="H36" s="582">
        <f>INDEX(Eng8_Emissions[lb/hr],MATCH(H$28,Eng8_Emissions[Pollutant],0))</f>
        <v>0</v>
      </c>
      <c r="I36" s="582">
        <f>INDEX(Eng8_Emissions[lb/hr],MATCH(I$28,Eng8_Emissions[Pollutant],0))</f>
        <v>0</v>
      </c>
      <c r="J36" s="582">
        <f>INDEX(Eng8_Emissions[lb/hr],MATCH(J$28,Eng8_Emissions[Pollutant],0))</f>
        <v>0</v>
      </c>
      <c r="K36" s="583">
        <f>INDEX(Eng8_Emissions[lb/hr],MATCH(K$28,Eng8_Emissions[Pollutant],0))</f>
        <v>0</v>
      </c>
      <c r="L36" s="546"/>
      <c r="N36" t="b">
        <f>AND($B$11&lt;&gt;0,$B$11&lt;O36,SUM(EngSum_ST[[#This Row],[NOx]:[NH3]])=0)</f>
        <v>0</v>
      </c>
      <c r="O36">
        <v>8</v>
      </c>
    </row>
    <row r="37" spans="1:15" x14ac:dyDescent="0.2">
      <c r="A37" s="334" t="s">
        <v>282</v>
      </c>
      <c r="B37" s="158">
        <f>ENGINE9!$B$6</f>
        <v>0</v>
      </c>
      <c r="C37" s="582">
        <f>INDEX(Eng9_Emissions[lb/hr],MATCH(C$28,Eng9_Emissions[Pollutant],0))</f>
        <v>0</v>
      </c>
      <c r="D37" s="582">
        <f>INDEX(Eng9_Emissions[lb/hr],MATCH(D$28,Eng9_Emissions[Pollutant],0))</f>
        <v>0</v>
      </c>
      <c r="E37" s="582">
        <f>INDEX(Eng9_Emissions[lb/hr],MATCH(E$28,Eng9_Emissions[Pollutant],0))</f>
        <v>0</v>
      </c>
      <c r="F37" s="582">
        <f>INDEX(Eng9_Emissions[lb/hr],MATCH(F$28,Eng9_Emissions[Pollutant],0))</f>
        <v>0</v>
      </c>
      <c r="G37" s="582">
        <f>INDEX(Eng9_Emissions[lb/hr],MATCH(G$28,Eng9_Emissions[Pollutant],0))</f>
        <v>0</v>
      </c>
      <c r="H37" s="582">
        <f>INDEX(Eng9_Emissions[lb/hr],MATCH(H$28,Eng9_Emissions[Pollutant],0))</f>
        <v>0</v>
      </c>
      <c r="I37" s="582">
        <f>INDEX(Eng9_Emissions[lb/hr],MATCH(I$28,Eng9_Emissions[Pollutant],0))</f>
        <v>0</v>
      </c>
      <c r="J37" s="582">
        <f>INDEX(Eng9_Emissions[lb/hr],MATCH(J$28,Eng9_Emissions[Pollutant],0))</f>
        <v>0</v>
      </c>
      <c r="K37" s="583">
        <f>INDEX(Eng9_Emissions[lb/hr],MATCH(K$28,Eng9_Emissions[Pollutant],0))</f>
        <v>0</v>
      </c>
      <c r="L37" s="546"/>
      <c r="N37" t="b">
        <f>AND($B$11&lt;&gt;0,$B$11&lt;O37,SUM(EngSum_ST[[#This Row],[NOx]:[NH3]])=0)</f>
        <v>0</v>
      </c>
      <c r="O37">
        <v>9</v>
      </c>
    </row>
    <row r="38" spans="1:15" x14ac:dyDescent="0.2">
      <c r="A38" s="337" t="s">
        <v>283</v>
      </c>
      <c r="B38" s="339">
        <f>ENGINE10!$B$6</f>
        <v>0</v>
      </c>
      <c r="C38" s="584">
        <f>INDEX(Eng10_Emissions[lb/hr],MATCH(C$28,Eng10_Emissions[Pollutant],0))</f>
        <v>0</v>
      </c>
      <c r="D38" s="584">
        <f>INDEX(Eng10_Emissions[lb/hr],MATCH(D$28,Eng10_Emissions[Pollutant],0))</f>
        <v>0</v>
      </c>
      <c r="E38" s="584">
        <f>INDEX(Eng10_Emissions[lb/hr],MATCH(E$28,Eng10_Emissions[Pollutant],0))</f>
        <v>0</v>
      </c>
      <c r="F38" s="584">
        <f>INDEX(Eng10_Emissions[lb/hr],MATCH(F$28,Eng10_Emissions[Pollutant],0))</f>
        <v>0</v>
      </c>
      <c r="G38" s="584">
        <f>INDEX(Eng10_Emissions[lb/hr],MATCH(G$28,Eng10_Emissions[Pollutant],0))</f>
        <v>0</v>
      </c>
      <c r="H38" s="584">
        <f>INDEX(Eng10_Emissions[lb/hr],MATCH(H$28,Eng10_Emissions[Pollutant],0))</f>
        <v>0</v>
      </c>
      <c r="I38" s="584">
        <f>INDEX(Eng10_Emissions[lb/hr],MATCH(I$28,Eng10_Emissions[Pollutant],0))</f>
        <v>0</v>
      </c>
      <c r="J38" s="584">
        <f>INDEX(Eng10_Emissions[lb/hr],MATCH(J$28,Eng10_Emissions[Pollutant],0))</f>
        <v>0</v>
      </c>
      <c r="K38" s="585">
        <f>INDEX(Eng10_Emissions[lb/hr],MATCH(K$28,Eng10_Emissions[Pollutant],0))</f>
        <v>0</v>
      </c>
      <c r="L38" s="546"/>
      <c r="N38" t="b">
        <f>AND($B$11&lt;&gt;0,$B$11&lt;O38,SUM(EngSum_ST[[#This Row],[NOx]:[NH3]])=0)</f>
        <v>0</v>
      </c>
      <c r="O38">
        <v>10</v>
      </c>
    </row>
    <row r="39" spans="1:15" x14ac:dyDescent="0.2">
      <c r="A39" s="518" t="s">
        <v>303</v>
      </c>
      <c r="B39" s="519"/>
      <c r="C39" s="586">
        <f>SUM(C29:C38)</f>
        <v>0</v>
      </c>
      <c r="D39" s="586">
        <f t="shared" ref="D39:K39" si="2">SUM(D29:D38)</f>
        <v>0</v>
      </c>
      <c r="E39" s="586">
        <f t="shared" si="2"/>
        <v>0</v>
      </c>
      <c r="F39" s="586">
        <f t="shared" si="2"/>
        <v>0</v>
      </c>
      <c r="G39" s="586">
        <f t="shared" si="2"/>
        <v>0</v>
      </c>
      <c r="H39" s="586">
        <f t="shared" si="2"/>
        <v>0</v>
      </c>
      <c r="I39" s="586">
        <f t="shared" si="2"/>
        <v>0</v>
      </c>
      <c r="J39" s="586">
        <f t="shared" si="2"/>
        <v>0</v>
      </c>
      <c r="K39" s="587">
        <f t="shared" si="2"/>
        <v>0</v>
      </c>
      <c r="L39" s="650"/>
    </row>
    <row r="40" spans="1:15" x14ac:dyDescent="0.2">
      <c r="A40" s="518" t="s">
        <v>1046</v>
      </c>
      <c r="B40" s="519"/>
      <c r="C40" s="586">
        <f>MAX(C29:C38)</f>
        <v>0</v>
      </c>
      <c r="D40" s="586">
        <f t="shared" ref="D40:K40" si="3">MAX(D29:D38)</f>
        <v>0</v>
      </c>
      <c r="E40" s="586">
        <f t="shared" si="3"/>
        <v>0</v>
      </c>
      <c r="F40" s="586">
        <f t="shared" si="3"/>
        <v>0</v>
      </c>
      <c r="G40" s="586">
        <f t="shared" si="3"/>
        <v>0</v>
      </c>
      <c r="H40" s="586">
        <f t="shared" si="3"/>
        <v>0</v>
      </c>
      <c r="I40" s="586">
        <f t="shared" si="3"/>
        <v>0</v>
      </c>
      <c r="J40" s="586">
        <f t="shared" si="3"/>
        <v>0</v>
      </c>
      <c r="K40" s="587">
        <f t="shared" si="3"/>
        <v>0</v>
      </c>
      <c r="L40" s="546"/>
    </row>
    <row r="41" spans="1:15" x14ac:dyDescent="0.2">
      <c r="A41" s="513" t="s">
        <v>1049</v>
      </c>
      <c r="B41" s="334"/>
      <c r="C41" s="582">
        <v>1.85</v>
      </c>
      <c r="D41" s="582">
        <v>5.43</v>
      </c>
      <c r="E41" s="582" t="s">
        <v>855</v>
      </c>
      <c r="F41" s="582">
        <v>2.1999999999999999E-2</v>
      </c>
      <c r="G41" s="582">
        <v>2.1999999999999999E-2</v>
      </c>
      <c r="H41" s="582" t="s">
        <v>855</v>
      </c>
      <c r="I41" s="582">
        <v>5.8999999999999997E-2</v>
      </c>
      <c r="J41" s="582">
        <v>5.7000000000000002E-3</v>
      </c>
      <c r="K41" s="583">
        <v>0.129</v>
      </c>
      <c r="L41" s="546"/>
    </row>
    <row r="42" spans="1:15" ht="14.25" customHeight="1" x14ac:dyDescent="0.2">
      <c r="A42" s="514" t="str">
        <f>"Engine Emission "&amp;Reference!F38&amp;" Rate (lb/hr)"</f>
        <v>Engine Emission Cap Rate (lb/hr)</v>
      </c>
      <c r="B42" s="512"/>
      <c r="C42" s="588">
        <f>MIN(C39,C41)</f>
        <v>0</v>
      </c>
      <c r="D42" s="588">
        <f t="shared" ref="D42:J42" si="4">MIN(D39,D41)</f>
        <v>0</v>
      </c>
      <c r="E42" s="588">
        <f t="shared" si="4"/>
        <v>0</v>
      </c>
      <c r="F42" s="588">
        <f t="shared" si="4"/>
        <v>0</v>
      </c>
      <c r="G42" s="588">
        <f t="shared" si="4"/>
        <v>0</v>
      </c>
      <c r="H42" s="588">
        <f t="shared" si="4"/>
        <v>0</v>
      </c>
      <c r="I42" s="588">
        <f t="shared" si="4"/>
        <v>0</v>
      </c>
      <c r="J42" s="588">
        <f t="shared" si="4"/>
        <v>0</v>
      </c>
      <c r="K42" s="589">
        <f>MIN(K39,K41)</f>
        <v>0</v>
      </c>
      <c r="L42" s="546"/>
    </row>
    <row r="43" spans="1:15" ht="60" customHeight="1" x14ac:dyDescent="0.2">
      <c r="A43" s="888" t="str">
        <f>IF(Reference!O47&gt;0,Reference!F53,IF(Reference!O46&gt;0,Reference!F52,IF('ENGINE Summary'!B11=1,Reference!F54,Reference!F55)))</f>
        <v>*The lb/hr maximums listed represent the combined maximum for all engines at the site authorized by a RAP operating at any given time. For example, if one engine is operating, the maximum NOx lb/hr emission rate is 1.85. If two engines are operating at the same time, the maximum combined NOx lb/hr emission rate is 1.85.</v>
      </c>
      <c r="B43" s="889"/>
      <c r="C43" s="889"/>
      <c r="D43" s="889"/>
      <c r="E43" s="889"/>
      <c r="F43" s="889"/>
      <c r="G43" s="889"/>
      <c r="H43" s="889"/>
      <c r="I43" s="889"/>
      <c r="J43" s="889"/>
      <c r="K43" s="889"/>
      <c r="L43" s="546"/>
    </row>
    <row r="44" spans="1:15" x14ac:dyDescent="0.2">
      <c r="L44" s="546"/>
    </row>
    <row r="45" spans="1:15" ht="15" x14ac:dyDescent="0.2">
      <c r="A45" s="162" t="s">
        <v>304</v>
      </c>
      <c r="B45" s="163"/>
      <c r="C45" s="163"/>
      <c r="D45" s="475"/>
      <c r="E45" s="475"/>
      <c r="F45" s="475"/>
      <c r="G45" s="475"/>
      <c r="H45" s="475"/>
      <c r="I45" s="475"/>
      <c r="J45" s="475"/>
      <c r="K45" s="475"/>
      <c r="L45" s="546"/>
    </row>
    <row r="46" spans="1:15" ht="15" x14ac:dyDescent="0.2">
      <c r="A46" s="244" t="s">
        <v>292</v>
      </c>
      <c r="B46" s="63" t="s">
        <v>216</v>
      </c>
      <c r="C46" s="221" t="s">
        <v>297</v>
      </c>
      <c r="D46" s="221" t="s">
        <v>247</v>
      </c>
      <c r="E46" s="221" t="s">
        <v>248</v>
      </c>
      <c r="F46" s="221" t="s">
        <v>298</v>
      </c>
      <c r="G46" s="221" t="s">
        <v>299</v>
      </c>
      <c r="H46" s="221" t="s">
        <v>251</v>
      </c>
      <c r="I46" s="221" t="s">
        <v>300</v>
      </c>
      <c r="J46" s="221" t="s">
        <v>301</v>
      </c>
      <c r="K46" s="222" t="s">
        <v>302</v>
      </c>
      <c r="L46" s="563"/>
    </row>
    <row r="47" spans="1:15" x14ac:dyDescent="0.2">
      <c r="A47" s="334" t="s">
        <v>214</v>
      </c>
      <c r="B47" s="158">
        <f>ENGINE1!$B$6</f>
        <v>0</v>
      </c>
      <c r="C47" s="582">
        <f>INDEX(Eng1_Emissions[tpy],MATCH(C$28,Eng1_Emissions[Pollutant],0))</f>
        <v>0</v>
      </c>
      <c r="D47" s="582">
        <f>INDEX(Eng1_Emissions[tpy],MATCH(D$28,Eng1_Emissions[Pollutant],0))</f>
        <v>0</v>
      </c>
      <c r="E47" s="582">
        <f>INDEX(Eng1_Emissions[tpy],MATCH(E$28,Eng1_Emissions[Pollutant],0))</f>
        <v>0</v>
      </c>
      <c r="F47" s="582">
        <f>INDEX(Eng1_Emissions[tpy],MATCH(F$28,Eng1_Emissions[Pollutant],0))</f>
        <v>0</v>
      </c>
      <c r="G47" s="582">
        <f>INDEX(Eng1_Emissions[tpy],MATCH(G$28,Eng1_Emissions[Pollutant],0))</f>
        <v>0</v>
      </c>
      <c r="H47" s="582">
        <f>INDEX(Eng1_Emissions[tpy],MATCH(H$28,Eng1_Emissions[Pollutant],0))</f>
        <v>0</v>
      </c>
      <c r="I47" s="582">
        <f>INDEX(Eng1_Emissions[tpy],MATCH(I$28,Eng1_Emissions[Pollutant],0))</f>
        <v>0</v>
      </c>
      <c r="J47" s="582">
        <f>INDEX(Eng1_Emissions[tpy],MATCH(J$28,Eng1_Emissions[Pollutant],0))</f>
        <v>0</v>
      </c>
      <c r="K47" s="583">
        <f>INDEX(Eng1_Emissions[tpy],MATCH(K$28,Eng1_Emissions[Pollutant],0))</f>
        <v>0</v>
      </c>
      <c r="L47" s="563"/>
    </row>
    <row r="48" spans="1:15" x14ac:dyDescent="0.2">
      <c r="A48" s="334" t="s">
        <v>274</v>
      </c>
      <c r="B48" s="158">
        <f>ENGINE2!$B$6</f>
        <v>0</v>
      </c>
      <c r="C48" s="582">
        <f>INDEX(Eng2_Emissions[tpy],MATCH(C$28,Eng2_Emissions[Pollutant],0))</f>
        <v>0</v>
      </c>
      <c r="D48" s="582">
        <f>INDEX(Eng2_Emissions[tpy],MATCH(D$28,Eng2_Emissions[Pollutant],0))</f>
        <v>0</v>
      </c>
      <c r="E48" s="582">
        <f>INDEX(Eng2_Emissions[tpy],MATCH(E$28,Eng2_Emissions[Pollutant],0))</f>
        <v>0</v>
      </c>
      <c r="F48" s="582">
        <f>INDEX(Eng2_Emissions[tpy],MATCH(F$28,Eng2_Emissions[Pollutant],0))</f>
        <v>0</v>
      </c>
      <c r="G48" s="582">
        <f>INDEX(Eng2_Emissions[tpy],MATCH(G$28,Eng2_Emissions[Pollutant],0))</f>
        <v>0</v>
      </c>
      <c r="H48" s="582">
        <f>INDEX(Eng2_Emissions[tpy],MATCH(H$28,Eng2_Emissions[Pollutant],0))</f>
        <v>0</v>
      </c>
      <c r="I48" s="582">
        <f>INDEX(Eng2_Emissions[tpy],MATCH(I$28,Eng2_Emissions[Pollutant],0))</f>
        <v>0</v>
      </c>
      <c r="J48" s="582">
        <f>INDEX(Eng2_Emissions[tpy],MATCH(J$28,Eng2_Emissions[Pollutant],0))</f>
        <v>0</v>
      </c>
      <c r="K48" s="583">
        <f>INDEX(Eng2_Emissions[tpy],MATCH(K$28,Eng2_Emissions[Pollutant],0))</f>
        <v>0</v>
      </c>
      <c r="L48" s="563"/>
      <c r="N48" t="b">
        <f>AND($B$11&lt;&gt;0,$B$11&lt;O48,SUM(C48:K48)=0)</f>
        <v>0</v>
      </c>
      <c r="O48">
        <v>2</v>
      </c>
    </row>
    <row r="49" spans="1:15" x14ac:dyDescent="0.2">
      <c r="A49" s="334" t="s">
        <v>276</v>
      </c>
      <c r="B49" s="158">
        <f>ENGINE3!$B$6</f>
        <v>0</v>
      </c>
      <c r="C49" s="582">
        <f>INDEX(Eng3_Emissions[tpy],MATCH(C$28,Eng3_Emissions[Pollutant],0))</f>
        <v>0</v>
      </c>
      <c r="D49" s="582">
        <f>INDEX(Eng3_Emissions[tpy],MATCH(D$28,Eng3_Emissions[Pollutant],0))</f>
        <v>0</v>
      </c>
      <c r="E49" s="582">
        <f>INDEX(Eng3_Emissions[tpy],MATCH(E$28,Eng3_Emissions[Pollutant],0))</f>
        <v>0</v>
      </c>
      <c r="F49" s="582">
        <f>INDEX(Eng3_Emissions[tpy],MATCH(F$28,Eng3_Emissions[Pollutant],0))</f>
        <v>0</v>
      </c>
      <c r="G49" s="582">
        <f>INDEX(Eng3_Emissions[tpy],MATCH(G$28,Eng3_Emissions[Pollutant],0))</f>
        <v>0</v>
      </c>
      <c r="H49" s="582">
        <f>INDEX(Eng3_Emissions[tpy],MATCH(H$28,Eng3_Emissions[Pollutant],0))</f>
        <v>0</v>
      </c>
      <c r="I49" s="582">
        <f>INDEX(Eng3_Emissions[tpy],MATCH(I$28,Eng3_Emissions[Pollutant],0))</f>
        <v>0</v>
      </c>
      <c r="J49" s="582">
        <f>INDEX(Eng3_Emissions[tpy],MATCH(J$28,Eng3_Emissions[Pollutant],0))</f>
        <v>0</v>
      </c>
      <c r="K49" s="583">
        <f>INDEX(Eng3_Emissions[tpy],MATCH(K$28,Eng3_Emissions[Pollutant],0))</f>
        <v>0</v>
      </c>
      <c r="L49" s="563"/>
      <c r="N49" t="b">
        <f t="shared" ref="N49:N56" si="5">AND($B$11&lt;&gt;0,$B$11&lt;O49,SUM(C49:K49)=0)</f>
        <v>0</v>
      </c>
      <c r="O49">
        <v>3</v>
      </c>
    </row>
    <row r="50" spans="1:15" x14ac:dyDescent="0.2">
      <c r="A50" s="334" t="s">
        <v>277</v>
      </c>
      <c r="B50" s="158">
        <f>ENGINE4!$B$6</f>
        <v>0</v>
      </c>
      <c r="C50" s="582">
        <f>INDEX(Eng4_Emissions[tpy],MATCH(C$28,Eng4_Emissions[Pollutant],0))</f>
        <v>0</v>
      </c>
      <c r="D50" s="582">
        <f>INDEX(Eng4_Emissions[tpy],MATCH(D$28,Eng4_Emissions[Pollutant],0))</f>
        <v>0</v>
      </c>
      <c r="E50" s="582">
        <f>INDEX(Eng4_Emissions[tpy],MATCH(E$28,Eng4_Emissions[Pollutant],0))</f>
        <v>0</v>
      </c>
      <c r="F50" s="582">
        <f>INDEX(Eng4_Emissions[tpy],MATCH(F$28,Eng4_Emissions[Pollutant],0))</f>
        <v>0</v>
      </c>
      <c r="G50" s="582">
        <f>INDEX(Eng4_Emissions[tpy],MATCH(G$28,Eng4_Emissions[Pollutant],0))</f>
        <v>0</v>
      </c>
      <c r="H50" s="582">
        <f>INDEX(Eng4_Emissions[tpy],MATCH(H$28,Eng4_Emissions[Pollutant],0))</f>
        <v>0</v>
      </c>
      <c r="I50" s="582">
        <f>INDEX(Eng4_Emissions[tpy],MATCH(I$28,Eng4_Emissions[Pollutant],0))</f>
        <v>0</v>
      </c>
      <c r="J50" s="582">
        <f>INDEX(Eng4_Emissions[tpy],MATCH(J$28,Eng4_Emissions[Pollutant],0))</f>
        <v>0</v>
      </c>
      <c r="K50" s="583">
        <f>INDEX(Eng4_Emissions[tpy],MATCH(K$28,Eng4_Emissions[Pollutant],0))</f>
        <v>0</v>
      </c>
      <c r="L50" s="563"/>
      <c r="N50" t="b">
        <f t="shared" si="5"/>
        <v>0</v>
      </c>
      <c r="O50">
        <v>4</v>
      </c>
    </row>
    <row r="51" spans="1:15" x14ac:dyDescent="0.2">
      <c r="A51" s="334" t="s">
        <v>278</v>
      </c>
      <c r="B51" s="158">
        <f>ENGINE5!$B$6</f>
        <v>0</v>
      </c>
      <c r="C51" s="582">
        <f>INDEX(Eng5_Emissions[tpy],MATCH(C$28,Eng5_Emissions[Pollutant],0))</f>
        <v>0</v>
      </c>
      <c r="D51" s="582">
        <f>INDEX(Eng5_Emissions[tpy],MATCH(D$28,Eng5_Emissions[Pollutant],0))</f>
        <v>0</v>
      </c>
      <c r="E51" s="582">
        <f>INDEX(Eng5_Emissions[tpy],MATCH(E$28,Eng5_Emissions[Pollutant],0))</f>
        <v>0</v>
      </c>
      <c r="F51" s="582">
        <f>INDEX(Eng5_Emissions[tpy],MATCH(F$28,Eng5_Emissions[Pollutant],0))</f>
        <v>0</v>
      </c>
      <c r="G51" s="582">
        <f>INDEX(Eng5_Emissions[tpy],MATCH(G$28,Eng5_Emissions[Pollutant],0))</f>
        <v>0</v>
      </c>
      <c r="H51" s="582">
        <f>INDEX(Eng5_Emissions[tpy],MATCH(H$28,Eng5_Emissions[Pollutant],0))</f>
        <v>0</v>
      </c>
      <c r="I51" s="582">
        <f>INDEX(Eng5_Emissions[tpy],MATCH(I$28,Eng5_Emissions[Pollutant],0))</f>
        <v>0</v>
      </c>
      <c r="J51" s="582">
        <f>INDEX(Eng5_Emissions[tpy],MATCH(J$28,Eng5_Emissions[Pollutant],0))</f>
        <v>0</v>
      </c>
      <c r="K51" s="583">
        <f>INDEX(Eng5_Emissions[tpy],MATCH(K$28,Eng5_Emissions[Pollutant],0))</f>
        <v>0</v>
      </c>
      <c r="L51" s="563"/>
      <c r="N51" t="b">
        <f t="shared" si="5"/>
        <v>0</v>
      </c>
      <c r="O51">
        <v>5</v>
      </c>
    </row>
    <row r="52" spans="1:15" x14ac:dyDescent="0.2">
      <c r="A52" s="334" t="s">
        <v>279</v>
      </c>
      <c r="B52" s="158">
        <f>ENGINE6!$B$6</f>
        <v>0</v>
      </c>
      <c r="C52" s="582">
        <f>INDEX(Eng6_Emissions[tpy],MATCH(C$28,Eng6_Emissions[Pollutant],0))</f>
        <v>0</v>
      </c>
      <c r="D52" s="582">
        <f>INDEX(Eng6_Emissions[tpy],MATCH(D$28,Eng6_Emissions[Pollutant],0))</f>
        <v>0</v>
      </c>
      <c r="E52" s="582">
        <f>INDEX(Eng6_Emissions[tpy],MATCH(E$28,Eng6_Emissions[Pollutant],0))</f>
        <v>0</v>
      </c>
      <c r="F52" s="582">
        <f>INDEX(Eng6_Emissions[tpy],MATCH(F$28,Eng6_Emissions[Pollutant],0))</f>
        <v>0</v>
      </c>
      <c r="G52" s="582">
        <f>INDEX(Eng6_Emissions[tpy],MATCH(G$28,Eng6_Emissions[Pollutant],0))</f>
        <v>0</v>
      </c>
      <c r="H52" s="582">
        <f>INDEX(Eng6_Emissions[tpy],MATCH(H$28,Eng6_Emissions[Pollutant],0))</f>
        <v>0</v>
      </c>
      <c r="I52" s="582">
        <f>INDEX(Eng6_Emissions[tpy],MATCH(I$28,Eng6_Emissions[Pollutant],0))</f>
        <v>0</v>
      </c>
      <c r="J52" s="582">
        <f>INDEX(Eng6_Emissions[tpy],MATCH(J$28,Eng6_Emissions[Pollutant],0))</f>
        <v>0</v>
      </c>
      <c r="K52" s="583">
        <f>INDEX(Eng6_Emissions[tpy],MATCH(K$28,Eng6_Emissions[Pollutant],0))</f>
        <v>0</v>
      </c>
      <c r="L52" s="563"/>
      <c r="N52" t="b">
        <f t="shared" si="5"/>
        <v>0</v>
      </c>
      <c r="O52">
        <v>6</v>
      </c>
    </row>
    <row r="53" spans="1:15" x14ac:dyDescent="0.2">
      <c r="A53" s="334" t="s">
        <v>280</v>
      </c>
      <c r="B53" s="158">
        <f>ENGINE7!$B$6</f>
        <v>0</v>
      </c>
      <c r="C53" s="582">
        <f>INDEX(Eng7_Emissions[tpy],MATCH(C$28,Eng7_Emissions[Pollutant],0))</f>
        <v>0</v>
      </c>
      <c r="D53" s="582">
        <f>INDEX(Eng7_Emissions[tpy],MATCH(D$28,Eng7_Emissions[Pollutant],0))</f>
        <v>0</v>
      </c>
      <c r="E53" s="582">
        <f>INDEX(Eng7_Emissions[tpy],MATCH(E$28,Eng7_Emissions[Pollutant],0))</f>
        <v>0</v>
      </c>
      <c r="F53" s="582">
        <f>INDEX(Eng7_Emissions[tpy],MATCH(F$28,Eng7_Emissions[Pollutant],0))</f>
        <v>0</v>
      </c>
      <c r="G53" s="582">
        <f>INDEX(Eng7_Emissions[tpy],MATCH(G$28,Eng7_Emissions[Pollutant],0))</f>
        <v>0</v>
      </c>
      <c r="H53" s="582">
        <f>INDEX(Eng7_Emissions[tpy],MATCH(H$28,Eng7_Emissions[Pollutant],0))</f>
        <v>0</v>
      </c>
      <c r="I53" s="582">
        <f>INDEX(Eng7_Emissions[tpy],MATCH(I$28,Eng7_Emissions[Pollutant],0))</f>
        <v>0</v>
      </c>
      <c r="J53" s="582">
        <f>INDEX(Eng7_Emissions[tpy],MATCH(J$28,Eng7_Emissions[Pollutant],0))</f>
        <v>0</v>
      </c>
      <c r="K53" s="583">
        <f>INDEX(Eng7_Emissions[tpy],MATCH(K$28,Eng7_Emissions[Pollutant],0))</f>
        <v>0</v>
      </c>
      <c r="L53" s="563"/>
      <c r="N53" t="b">
        <f t="shared" si="5"/>
        <v>0</v>
      </c>
      <c r="O53">
        <v>7</v>
      </c>
    </row>
    <row r="54" spans="1:15" x14ac:dyDescent="0.2">
      <c r="A54" s="334" t="s">
        <v>281</v>
      </c>
      <c r="B54" s="158">
        <f>ENGINE8!$B$6</f>
        <v>0</v>
      </c>
      <c r="C54" s="582">
        <f>INDEX(Eng8_Emissions[tpy],MATCH(C$28,Eng8_Emissions[Pollutant],0))</f>
        <v>0</v>
      </c>
      <c r="D54" s="582">
        <f>INDEX(Eng8_Emissions[tpy],MATCH(D$28,Eng8_Emissions[Pollutant],0))</f>
        <v>0</v>
      </c>
      <c r="E54" s="582">
        <f>INDEX(Eng8_Emissions[tpy],MATCH(E$28,Eng8_Emissions[Pollutant],0))</f>
        <v>0</v>
      </c>
      <c r="F54" s="582">
        <f>INDEX(Eng8_Emissions[tpy],MATCH(F$28,Eng8_Emissions[Pollutant],0))</f>
        <v>0</v>
      </c>
      <c r="G54" s="582">
        <f>INDEX(Eng8_Emissions[tpy],MATCH(G$28,Eng8_Emissions[Pollutant],0))</f>
        <v>0</v>
      </c>
      <c r="H54" s="582">
        <f>INDEX(Eng8_Emissions[tpy],MATCH(H$28,Eng8_Emissions[Pollutant],0))</f>
        <v>0</v>
      </c>
      <c r="I54" s="582">
        <f>INDEX(Eng8_Emissions[tpy],MATCH(I$28,Eng8_Emissions[Pollutant],0))</f>
        <v>0</v>
      </c>
      <c r="J54" s="582">
        <f>INDEX(Eng8_Emissions[tpy],MATCH(J$28,Eng8_Emissions[Pollutant],0))</f>
        <v>0</v>
      </c>
      <c r="K54" s="583">
        <f>INDEX(Eng8_Emissions[tpy],MATCH(K$28,Eng8_Emissions[Pollutant],0))</f>
        <v>0</v>
      </c>
      <c r="L54" s="563"/>
      <c r="N54" t="b">
        <f t="shared" si="5"/>
        <v>0</v>
      </c>
      <c r="O54">
        <v>8</v>
      </c>
    </row>
    <row r="55" spans="1:15" x14ac:dyDescent="0.2">
      <c r="A55" s="334" t="s">
        <v>282</v>
      </c>
      <c r="B55" s="158">
        <f>ENGINE9!$B$6</f>
        <v>0</v>
      </c>
      <c r="C55" s="582">
        <f>INDEX(Eng9_Emissions[tpy],MATCH(C$28,Eng9_Emissions[Pollutant],0))</f>
        <v>0</v>
      </c>
      <c r="D55" s="582">
        <f>INDEX(Eng9_Emissions[tpy],MATCH(D$28,Eng9_Emissions[Pollutant],0))</f>
        <v>0</v>
      </c>
      <c r="E55" s="582">
        <f>INDEX(Eng9_Emissions[tpy],MATCH(E$28,Eng9_Emissions[Pollutant],0))</f>
        <v>0</v>
      </c>
      <c r="F55" s="582">
        <f>INDEX(Eng9_Emissions[tpy],MATCH(F$28,Eng9_Emissions[Pollutant],0))</f>
        <v>0</v>
      </c>
      <c r="G55" s="582">
        <f>INDEX(Eng9_Emissions[tpy],MATCH(G$28,Eng9_Emissions[Pollutant],0))</f>
        <v>0</v>
      </c>
      <c r="H55" s="582">
        <f>INDEX(Eng9_Emissions[tpy],MATCH(H$28,Eng9_Emissions[Pollutant],0))</f>
        <v>0</v>
      </c>
      <c r="I55" s="582">
        <f>INDEX(Eng9_Emissions[tpy],MATCH(I$28,Eng9_Emissions[Pollutant],0))</f>
        <v>0</v>
      </c>
      <c r="J55" s="582">
        <f>INDEX(Eng9_Emissions[tpy],MATCH(J$28,Eng9_Emissions[Pollutant],0))</f>
        <v>0</v>
      </c>
      <c r="K55" s="583">
        <f>INDEX(Eng9_Emissions[tpy],MATCH(K$28,Eng9_Emissions[Pollutant],0))</f>
        <v>0</v>
      </c>
      <c r="L55" s="563"/>
      <c r="N55" t="b">
        <f t="shared" si="5"/>
        <v>0</v>
      </c>
      <c r="O55">
        <v>9</v>
      </c>
    </row>
    <row r="56" spans="1:15" x14ac:dyDescent="0.2">
      <c r="A56" s="337" t="s">
        <v>283</v>
      </c>
      <c r="B56" s="339">
        <f>ENGINE10!$B$6</f>
        <v>0</v>
      </c>
      <c r="C56" s="584">
        <f>INDEX(Eng10_Emissions[tpy],MATCH(C$28,Eng10_Emissions[Pollutant],0))</f>
        <v>0</v>
      </c>
      <c r="D56" s="584">
        <f>INDEX(Eng10_Emissions[tpy],MATCH(D$28,Eng10_Emissions[Pollutant],0))</f>
        <v>0</v>
      </c>
      <c r="E56" s="584">
        <f>INDEX(Eng10_Emissions[tpy],MATCH(E$28,Eng10_Emissions[Pollutant],0))</f>
        <v>0</v>
      </c>
      <c r="F56" s="584">
        <f>INDEX(Eng10_Emissions[tpy],MATCH(F$28,Eng10_Emissions[Pollutant],0))</f>
        <v>0</v>
      </c>
      <c r="G56" s="584">
        <f>INDEX(Eng10_Emissions[tpy],MATCH(G$28,Eng10_Emissions[Pollutant],0))</f>
        <v>0</v>
      </c>
      <c r="H56" s="584">
        <f>INDEX(Eng10_Emissions[tpy],MATCH(H$28,Eng10_Emissions[Pollutant],0))</f>
        <v>0</v>
      </c>
      <c r="I56" s="584">
        <f>INDEX(Eng10_Emissions[tpy],MATCH(I$28,Eng10_Emissions[Pollutant],0))</f>
        <v>0</v>
      </c>
      <c r="J56" s="584">
        <f>INDEX(Eng10_Emissions[tpy],MATCH(J$28,Eng10_Emissions[Pollutant],0))</f>
        <v>0</v>
      </c>
      <c r="K56" s="585">
        <f>INDEX(Eng10_Emissions[tpy],MATCH(K$28,Eng10_Emissions[Pollutant],0))</f>
        <v>0</v>
      </c>
      <c r="L56" s="563"/>
      <c r="N56" t="b">
        <f t="shared" si="5"/>
        <v>0</v>
      </c>
      <c r="O56">
        <v>10</v>
      </c>
    </row>
    <row r="57" spans="1:15" x14ac:dyDescent="0.2">
      <c r="A57" s="601" t="s">
        <v>305</v>
      </c>
      <c r="B57" s="519"/>
      <c r="C57" s="638">
        <f t="shared" ref="C57:K57" si="6">SUM(C47:C56)</f>
        <v>0</v>
      </c>
      <c r="D57" s="638">
        <f t="shared" si="6"/>
        <v>0</v>
      </c>
      <c r="E57" s="638">
        <f t="shared" si="6"/>
        <v>0</v>
      </c>
      <c r="F57" s="638">
        <f t="shared" si="6"/>
        <v>0</v>
      </c>
      <c r="G57" s="638">
        <f t="shared" si="6"/>
        <v>0</v>
      </c>
      <c r="H57" s="638">
        <f t="shared" si="6"/>
        <v>0</v>
      </c>
      <c r="I57" s="638">
        <f t="shared" si="6"/>
        <v>0</v>
      </c>
      <c r="J57" s="638">
        <f t="shared" si="6"/>
        <v>0</v>
      </c>
      <c r="K57" s="639">
        <f t="shared" si="6"/>
        <v>0</v>
      </c>
      <c r="L57" s="650"/>
    </row>
    <row r="58" spans="1:15" x14ac:dyDescent="0.2">
      <c r="A58" s="601" t="s">
        <v>1047</v>
      </c>
      <c r="B58" s="519"/>
      <c r="C58" s="586">
        <f>MAX(EngSum_TPY[NOx])</f>
        <v>0</v>
      </c>
      <c r="D58" s="586">
        <f>MAX(EngSum_TPY[CO])</f>
        <v>0</v>
      </c>
      <c r="E58" s="586">
        <f>MAX(EngSum_TPY[PM])</f>
        <v>0</v>
      </c>
      <c r="F58" s="586">
        <f>MAX(EngSum_TPY[[#All],[PM10]])</f>
        <v>0</v>
      </c>
      <c r="G58" s="586">
        <f>MAX(EngSum_TPY[PM2.5])</f>
        <v>0</v>
      </c>
      <c r="H58" s="586">
        <f>MAX(EngSum_TPY[VOC])</f>
        <v>0</v>
      </c>
      <c r="I58" s="586">
        <f>MAX(EngSum_TPY[[#All],[SO2]])</f>
        <v>0</v>
      </c>
      <c r="J58" s="586">
        <f>MAX(EngSum_TPY[H2SO4])</f>
        <v>0</v>
      </c>
      <c r="K58" s="602">
        <f>MAX(EngSum_TPY[NH3])</f>
        <v>0</v>
      </c>
      <c r="L58" s="563"/>
    </row>
    <row r="59" spans="1:15" x14ac:dyDescent="0.2">
      <c r="A59" s="603" t="s">
        <v>1048</v>
      </c>
      <c r="B59" s="334"/>
      <c r="C59" s="590">
        <v>0.27750000000000002</v>
      </c>
      <c r="D59" s="590" t="s">
        <v>855</v>
      </c>
      <c r="E59" s="590" t="s">
        <v>855</v>
      </c>
      <c r="F59" s="590" t="s">
        <v>855</v>
      </c>
      <c r="G59" s="590">
        <v>3.3999999999999998E-3</v>
      </c>
      <c r="H59" s="590" t="s">
        <v>855</v>
      </c>
      <c r="I59" s="590">
        <v>8.8000000000000005E-3</v>
      </c>
      <c r="J59" s="590" t="s">
        <v>855</v>
      </c>
      <c r="K59" s="591">
        <v>1.9300000000000001E-2</v>
      </c>
      <c r="L59" s="563"/>
    </row>
    <row r="60" spans="1:15" ht="15.75" thickBot="1" x14ac:dyDescent="0.25">
      <c r="A60" s="604" t="str">
        <f>"Engine Emission "&amp;Reference!F38&amp;" Rate (tpy)**"</f>
        <v>Engine Emission Cap Rate (tpy)**</v>
      </c>
      <c r="B60" s="605"/>
      <c r="C60" s="606">
        <f t="shared" ref="C60" si="7">MIN(C59,C57)</f>
        <v>0</v>
      </c>
      <c r="D60" s="606">
        <f>MIN(D59,D57)</f>
        <v>0</v>
      </c>
      <c r="E60" s="606">
        <f t="shared" ref="E60:K60" si="8">MIN(E59,E57)</f>
        <v>0</v>
      </c>
      <c r="F60" s="606">
        <f t="shared" si="8"/>
        <v>0</v>
      </c>
      <c r="G60" s="606">
        <f t="shared" si="8"/>
        <v>0</v>
      </c>
      <c r="H60" s="606">
        <f t="shared" si="8"/>
        <v>0</v>
      </c>
      <c r="I60" s="606">
        <f t="shared" si="8"/>
        <v>0</v>
      </c>
      <c r="J60" s="606">
        <f t="shared" si="8"/>
        <v>0</v>
      </c>
      <c r="K60" s="607">
        <f t="shared" si="8"/>
        <v>0</v>
      </c>
      <c r="L60" s="563"/>
    </row>
    <row r="61" spans="1:15" ht="60" customHeight="1" thickBot="1" x14ac:dyDescent="0.25">
      <c r="A61" s="890" t="str">
        <f>IF(Reference!O49&gt;0,Reference!F58,IF(Reference!O48&gt;0,Reference!F57,IF('ENGINE Summary'!B11=1,Reference!F59,Reference!F60)))</f>
        <v>**The tpy maximums listed represent the combined maximum for all engines at the site authorized by a RAP. For example, if there is one engine, the maximum NOx tpy emission rate is 0.2775. If there are two engines, the combined maximum NOx tpy emission rate is 0.2775.</v>
      </c>
      <c r="B61" s="891"/>
      <c r="C61" s="891"/>
      <c r="D61" s="891"/>
      <c r="E61" s="891"/>
      <c r="F61" s="891"/>
      <c r="G61" s="891"/>
      <c r="H61" s="891"/>
      <c r="I61" s="891"/>
      <c r="J61" s="891"/>
      <c r="K61" s="892"/>
      <c r="L61" s="564"/>
    </row>
    <row r="62" spans="1:15" ht="8.25" customHeight="1" x14ac:dyDescent="0.2"/>
    <row r="63" spans="1:15" x14ac:dyDescent="0.2">
      <c r="A63" s="883" t="str">
        <f>HYPERLINK("#Sheet_Tanks","End of sheet. Click here to move to the next sheet.")</f>
        <v>End of sheet. Click here to move to the next sheet.</v>
      </c>
      <c r="B63" s="883"/>
      <c r="C63" s="858"/>
      <c r="D63" s="858"/>
      <c r="E63" s="858"/>
      <c r="F63" s="858"/>
      <c r="G63" s="858"/>
    </row>
    <row r="64" spans="1:15" ht="8.25" hidden="1" customHeight="1" x14ac:dyDescent="0.2"/>
  </sheetData>
  <sheetProtection algorithmName="SHA-512" hashValue="9Cq59Mh8a8WeU+Yae2lAPIumj86GGXPGkDjNOyIGrCi+yq74T1m+QrK3+9SUMl13VzFGOyGSk/FEt2RYc1F8tw==" saltValue="hKduO8dr8RWoUgh9xaot9g==" spinCount="100000" sheet="1" objects="1" scenarios="1" formatColumns="0" formatRows="0" autoFilter="0"/>
  <mergeCells count="17">
    <mergeCell ref="D21:K21"/>
    <mergeCell ref="D22:K22"/>
    <mergeCell ref="A63:G63"/>
    <mergeCell ref="A1:K1"/>
    <mergeCell ref="A2:K2"/>
    <mergeCell ref="A43:K43"/>
    <mergeCell ref="A61:K61"/>
    <mergeCell ref="D15:K15"/>
    <mergeCell ref="D16:K16"/>
    <mergeCell ref="D17:K17"/>
    <mergeCell ref="D18:K18"/>
    <mergeCell ref="D23:K23"/>
    <mergeCell ref="D24:K24"/>
    <mergeCell ref="D14:K14"/>
    <mergeCell ref="D25:K25"/>
    <mergeCell ref="D19:K19"/>
    <mergeCell ref="D20:K20"/>
  </mergeCells>
  <conditionalFormatting sqref="A16:K56">
    <cfRule type="expression" dxfId="49" priority="5">
      <formula>$N16</formula>
    </cfRule>
  </conditionalFormatting>
  <conditionalFormatting sqref="A25:K25">
    <cfRule type="expression" dxfId="48" priority="4">
      <formula>MAX($C$15:$C$24)&gt;300</formula>
    </cfRule>
    <cfRule type="expression" dxfId="47" priority="478">
      <formula>$C$25="300*"</formula>
    </cfRule>
  </conditionalFormatting>
  <conditionalFormatting sqref="A58:K58">
    <cfRule type="expression" dxfId="46" priority="1">
      <formula>$N58</formula>
    </cfRule>
  </conditionalFormatting>
  <conditionalFormatting sqref="A61:K61">
    <cfRule type="expression" dxfId="45" priority="3">
      <formula>$N61</formula>
    </cfRule>
  </conditionalFormatting>
  <conditionalFormatting sqref="C15:C24">
    <cfRule type="expression" dxfId="44" priority="20">
      <formula>C15&gt;300</formula>
    </cfRule>
  </conditionalFormatting>
  <conditionalFormatting sqref="C57 G57 I57 K57">
    <cfRule type="cellIs" dxfId="43" priority="22" operator="greaterThan">
      <formula>C$59</formula>
    </cfRule>
  </conditionalFormatting>
  <conditionalFormatting sqref="C39:D39 F39:G39 I39:K39">
    <cfRule type="cellIs" dxfId="42" priority="24" operator="greaterThan">
      <formula>C$41</formula>
    </cfRule>
  </conditionalFormatting>
  <conditionalFormatting sqref="C40:D40 F40:G40 I40:K40">
    <cfRule type="cellIs" dxfId="41" priority="19" operator="greaterThan">
      <formula>C$41</formula>
    </cfRule>
  </conditionalFormatting>
  <conditionalFormatting sqref="C58:D58 F58:G58 I58:K58">
    <cfRule type="cellIs" dxfId="40" priority="2" operator="greaterThan">
      <formula>C$41</formula>
    </cfRule>
  </conditionalFormatting>
  <dataValidations count="8">
    <dataValidation allowBlank="1" showErrorMessage="1" promptTitle="EPN" prompt="Input the Emission Point Number for the engine.  Limited to 10 ahlpanumeric characters." sqref="A1:B1" xr:uid="{5256D1FE-DAE6-42EF-A009-464DB1E0648B}"/>
    <dataValidation type="textLength" allowBlank="1" showErrorMessage="1" promptTitle="EPN" prompt="Input the Emission Point Number for the engine cap.  Limited to 10 alphanumeric characters." sqref="B6" xr:uid="{9198B9F6-3788-48DC-BD38-049B3690FD41}">
      <formula1>0</formula1>
      <formula2>10</formula2>
    </dataValidation>
    <dataValidation type="list" allowBlank="1" showErrorMessage="1" promptTitle="UTM Zone for Tank 1" prompt="Enter the UTM Coordinates zone for the Tank. In Texas, this must be 13, 14, or 15." sqref="B8" xr:uid="{8162F53E-D317-405C-BF52-38EC7C78E496}">
      <formula1>"13,14,15"</formula1>
    </dataValidation>
    <dataValidation allowBlank="1" showErrorMessage="1" promptTitle="Source Name for Tank 1" prompt="Input the source name for the tank. " sqref="B7" xr:uid="{D8E121CC-1E9F-4D55-B21B-4A44BA38A10E}"/>
    <dataValidation allowBlank="1" showInputMessage="1" showErrorMessage="1" errorTitle="North (Meters)" error="Enter a value between 2854000 and 4059000 meters." sqref="B11" xr:uid="{C1E7AD01-A6D2-422C-9C41-D0031E2C1701}"/>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9" xr:uid="{85580B02-6AEC-4C42-B91A-E9A05D53FCCE}">
      <formula1>205000</formula1>
      <formula2>795000</formula2>
    </dataValidation>
    <dataValidation allowBlank="1" showErrorMessage="1" prompt="This cell intentionally left blank for internal comments. All internal comments must be submitted prior to application submittal." sqref="L3:L61" xr:uid="{159B6C9D-5AEB-4D76-81AE-6CF1749EA524}"/>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10" xr:uid="{70AFBC09-EDC2-4832-8437-402A2C2C687E}">
      <formula1>2854000</formula1>
      <formula2>4059000</formula2>
    </dataValidation>
  </dataValidations>
  <pageMargins left="0.7" right="0.7" top="0.75" bottom="0.75" header="0.3" footer="0.3"/>
  <pageSetup orientation="portrait" r:id="rId1"/>
  <tableParts count="4">
    <tablePart r:id="rId2"/>
    <tablePart r:id="rId3"/>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tabColor rgb="FFFFFFCC"/>
  </sheetPr>
  <dimension ref="A1:H173"/>
  <sheetViews>
    <sheetView showGridLines="0" zoomScaleNormal="100" workbookViewId="0">
      <selection sqref="A1:C1"/>
    </sheetView>
  </sheetViews>
  <sheetFormatPr defaultColWidth="0" defaultRowHeight="14.25" zeroHeight="1" x14ac:dyDescent="0.2"/>
  <cols>
    <col min="1" max="1" width="39.75" customWidth="1"/>
    <col min="2" max="2" width="20.75" customWidth="1"/>
    <col min="3" max="3" width="32.75" customWidth="1"/>
    <col min="4" max="4" width="40.625" customWidth="1"/>
    <col min="5" max="5" width="2.625" customWidth="1"/>
    <col min="6" max="8" width="0" hidden="1" customWidth="1"/>
    <col min="9" max="16384" width="9" hidden="1"/>
  </cols>
  <sheetData>
    <row r="1" spans="1:8" s="2" customFormat="1" ht="18" x14ac:dyDescent="0.2">
      <c r="A1" s="861" t="s">
        <v>306</v>
      </c>
      <c r="B1" s="862"/>
      <c r="C1" s="863"/>
      <c r="D1" s="133" t="s">
        <v>60</v>
      </c>
      <c r="E1" s="387"/>
      <c r="F1" s="387" t="b">
        <f>AND('PI-1-PowerEngine'!B79&lt;&gt;"",$B$11=0)</f>
        <v>0</v>
      </c>
      <c r="G1" s="387"/>
      <c r="H1" s="387"/>
    </row>
    <row r="2" spans="1:8" s="2" customFormat="1" ht="200.1" customHeight="1" x14ac:dyDescent="0.2">
      <c r="A2" s="762" t="s">
        <v>1061</v>
      </c>
      <c r="B2" s="874"/>
      <c r="C2" s="848"/>
      <c r="D2" s="267" t="s">
        <v>63</v>
      </c>
      <c r="E2" s="387"/>
      <c r="F2" s="387"/>
      <c r="G2" s="387"/>
      <c r="H2" s="387"/>
    </row>
    <row r="3" spans="1:8" s="2" customFormat="1" x14ac:dyDescent="0.2">
      <c r="A3" s="152" t="s">
        <v>307</v>
      </c>
      <c r="B3" s="152"/>
      <c r="C3" s="152"/>
      <c r="D3" s="544"/>
      <c r="E3" s="387"/>
      <c r="F3" s="387"/>
      <c r="G3" s="387"/>
      <c r="H3" s="387"/>
    </row>
    <row r="4" spans="1:8" s="2" customFormat="1" ht="17.100000000000001" customHeight="1" x14ac:dyDescent="0.2">
      <c r="A4" s="156" t="str">
        <f>"I. Tank "&amp;Reference!F39&amp;" Information"</f>
        <v>I. Tank Cap Information</v>
      </c>
      <c r="B4" s="157"/>
      <c r="C4" s="195"/>
      <c r="D4" s="650"/>
      <c r="E4" s="387"/>
      <c r="F4" s="387"/>
      <c r="G4" s="387"/>
      <c r="H4" s="387"/>
    </row>
    <row r="5" spans="1:8" s="2" customFormat="1" ht="15.75" customHeight="1" x14ac:dyDescent="0.2">
      <c r="A5" s="522" t="s">
        <v>72</v>
      </c>
      <c r="B5" s="523" t="s">
        <v>73</v>
      </c>
      <c r="C5" s="548"/>
      <c r="D5" s="546"/>
      <c r="E5" s="387"/>
      <c r="F5" s="387"/>
      <c r="G5" s="387"/>
      <c r="H5" s="387"/>
    </row>
    <row r="6" spans="1:8" s="2" customFormat="1" ht="15" x14ac:dyDescent="0.2">
      <c r="A6" s="524" t="s">
        <v>308</v>
      </c>
      <c r="B6" s="173"/>
      <c r="C6" s="549"/>
      <c r="D6" s="546"/>
      <c r="E6" s="387"/>
      <c r="F6" s="387"/>
      <c r="G6" s="387"/>
      <c r="H6" s="387"/>
    </row>
    <row r="7" spans="1:8" s="2" customFormat="1" ht="15" x14ac:dyDescent="0.2">
      <c r="A7" s="334" t="s">
        <v>286</v>
      </c>
      <c r="B7" s="173"/>
      <c r="C7" s="549"/>
      <c r="D7" s="546"/>
      <c r="E7" s="387"/>
      <c r="F7" s="387"/>
      <c r="G7" s="387"/>
      <c r="H7" s="387"/>
    </row>
    <row r="8" spans="1:8" s="2" customFormat="1" ht="15" x14ac:dyDescent="0.2">
      <c r="A8" s="234" t="s">
        <v>287</v>
      </c>
      <c r="B8" s="479"/>
      <c r="C8" s="549"/>
      <c r="D8" s="546"/>
      <c r="E8" s="387"/>
      <c r="F8" s="387"/>
      <c r="G8" s="387"/>
      <c r="H8" s="387"/>
    </row>
    <row r="9" spans="1:8" s="2" customFormat="1" ht="15" x14ac:dyDescent="0.2">
      <c r="A9" s="405" t="s">
        <v>288</v>
      </c>
      <c r="B9" s="175"/>
      <c r="C9" s="549"/>
      <c r="D9" s="546"/>
      <c r="E9" s="387"/>
      <c r="F9" s="387"/>
      <c r="G9" s="387"/>
      <c r="H9" s="387"/>
    </row>
    <row r="10" spans="1:8" s="2" customFormat="1" ht="15" x14ac:dyDescent="0.2">
      <c r="A10" s="405" t="s">
        <v>289</v>
      </c>
      <c r="B10" s="175"/>
      <c r="C10" s="549"/>
      <c r="D10" s="546"/>
      <c r="E10" s="387"/>
      <c r="F10" s="387"/>
      <c r="G10" s="387"/>
      <c r="H10" s="387"/>
    </row>
    <row r="11" spans="1:8" s="2" customFormat="1" x14ac:dyDescent="0.2">
      <c r="A11" s="525" t="s">
        <v>309</v>
      </c>
      <c r="B11" s="526">
        <f>'PI-1-PowerEngine'!$B$79</f>
        <v>0</v>
      </c>
      <c r="C11" s="550"/>
      <c r="D11" s="546"/>
      <c r="E11" s="387"/>
      <c r="F11" s="387"/>
      <c r="G11" s="387"/>
      <c r="H11" s="387"/>
    </row>
    <row r="12" spans="1:8" s="2" customFormat="1" x14ac:dyDescent="0.2">
      <c r="A12" s="525" t="str">
        <f>"VOC - tanks standing losses "&amp;Reference!G39&amp;" (lb/hr)"</f>
        <v>VOC - tanks standing losses cap (lb/hr)</v>
      </c>
      <c r="B12" s="527">
        <f>MIN(0.021,B162)</f>
        <v>0</v>
      </c>
      <c r="C12" s="550"/>
      <c r="D12" s="546"/>
      <c r="E12" s="387"/>
      <c r="F12" s="387"/>
      <c r="G12" s="387"/>
      <c r="H12" s="387"/>
    </row>
    <row r="13" spans="1:8" s="2" customFormat="1" ht="15" customHeight="1" x14ac:dyDescent="0.2">
      <c r="A13" s="525" t="str">
        <f>"VOC - tanks filling losses "&amp;Reference!G39&amp;" (lb/hr)"</f>
        <v>VOC - tanks filling losses cap (lb/hr)</v>
      </c>
      <c r="B13" s="528">
        <f>MIN(0.43,B163)</f>
        <v>0</v>
      </c>
      <c r="C13" s="550"/>
      <c r="D13" s="546"/>
      <c r="E13" s="387"/>
      <c r="F13" s="387"/>
      <c r="G13" s="387"/>
      <c r="H13" s="387"/>
    </row>
    <row r="14" spans="1:8" s="2" customFormat="1" ht="15" customHeight="1" x14ac:dyDescent="0.2">
      <c r="A14" s="525" t="str">
        <f>"VOC - short-term tank "&amp;Reference!G39&amp;" (lb/hr)"</f>
        <v>VOC - short-term tank cap (lb/hr)</v>
      </c>
      <c r="B14" s="529">
        <f>MAX(B12:B13)</f>
        <v>0</v>
      </c>
      <c r="C14" s="550"/>
      <c r="D14" s="546"/>
      <c r="E14" s="387"/>
      <c r="F14" s="387"/>
      <c r="G14" s="387"/>
      <c r="H14" s="387"/>
    </row>
    <row r="15" spans="1:8" s="2" customFormat="1" ht="15" x14ac:dyDescent="0.2">
      <c r="A15" s="530" t="str">
        <f>"VOC - total standing + filling losses "&amp;Reference!G39&amp;" (tpy)"</f>
        <v>VOC - total standing + filling losses cap (tpy)</v>
      </c>
      <c r="B15" s="529">
        <f>MIN(0.095,B164)</f>
        <v>0</v>
      </c>
      <c r="C15" s="551"/>
      <c r="D15" s="546"/>
      <c r="E15" s="387"/>
      <c r="F15" s="387"/>
      <c r="G15" s="387"/>
      <c r="H15" s="387"/>
    </row>
    <row r="16" spans="1:8" s="2" customFormat="1" ht="78.75" customHeight="1" x14ac:dyDescent="0.2">
      <c r="A16" s="880" t="str">
        <f>IF(B11&gt;=2,"Multiple diesel tanks","A diesel tank")&amp;" will be used exclusively in supplying diesel to the engine(s). Due to the low volatility of diesel, along with the low overall capacity and throughput expected of the tank(s)"&amp;", default emission rates are used for this source. The default emission rates are expected to be"&amp;" representative so long as BACT is applied and use of the tank(s) is only to support operation of the engine(s). Acceptance of the proposed emission rates for the tank(s) is confirmed on the Special Conditions sheet."</f>
        <v>A diesel tank will be used exclusively in supplying diesel to the engine(s). Due to the low volatility of diesel, along with the low overall capacity and throughput expected of the tank(s), default emission rates are used for this source. The default emission rates are expected to be representative so long as BACT is applied and use of the tank(s) is only to support operation of the engine(s). Acceptance of the proposed emission rates for the tank(s) is confirmed on the Special Conditions sheet.</v>
      </c>
      <c r="B16" s="853"/>
      <c r="C16" s="853"/>
      <c r="D16" s="546"/>
      <c r="E16" s="387"/>
      <c r="F16" s="387"/>
      <c r="G16" s="387"/>
      <c r="H16" s="387"/>
    </row>
    <row r="17" spans="1:8" s="2" customFormat="1" ht="15" x14ac:dyDescent="0.2">
      <c r="A17" s="520"/>
      <c r="B17" s="521"/>
      <c r="C17" s="521"/>
      <c r="D17" s="545"/>
      <c r="E17" s="387"/>
      <c r="F17" s="387"/>
      <c r="G17" s="387"/>
      <c r="H17" s="387"/>
    </row>
    <row r="18" spans="1:8" s="2" customFormat="1" ht="17.100000000000001" customHeight="1" x14ac:dyDescent="0.2">
      <c r="A18" s="194" t="s">
        <v>310</v>
      </c>
      <c r="B18" s="195"/>
      <c r="C18" s="195"/>
      <c r="D18" s="545"/>
      <c r="E18" s="387"/>
      <c r="F18" s="387"/>
      <c r="G18" s="387"/>
      <c r="H18" s="387"/>
    </row>
    <row r="19" spans="1:8" s="2" customFormat="1" ht="15" x14ac:dyDescent="0.2">
      <c r="A19" s="270" t="s">
        <v>311</v>
      </c>
      <c r="B19" s="271"/>
      <c r="C19" s="237"/>
      <c r="D19" s="547"/>
      <c r="E19" s="387"/>
      <c r="F19" s="387"/>
      <c r="G19" s="387"/>
      <c r="H19" s="387"/>
    </row>
    <row r="20" spans="1:8" s="2" customFormat="1" ht="15" x14ac:dyDescent="0.2">
      <c r="A20" s="496" t="s">
        <v>72</v>
      </c>
      <c r="B20" s="235" t="s">
        <v>73</v>
      </c>
      <c r="C20" s="222" t="s">
        <v>244</v>
      </c>
      <c r="D20" s="546"/>
      <c r="E20" s="387"/>
      <c r="F20" s="387"/>
      <c r="G20" s="387"/>
      <c r="H20" s="387"/>
    </row>
    <row r="21" spans="1:8" s="2" customFormat="1" x14ac:dyDescent="0.2">
      <c r="A21" s="497" t="s">
        <v>216</v>
      </c>
      <c r="B21" s="224"/>
      <c r="C21" s="552"/>
      <c r="D21" s="546"/>
      <c r="E21" s="387"/>
      <c r="F21" s="387"/>
      <c r="G21" s="387"/>
      <c r="H21" s="387"/>
    </row>
    <row r="22" spans="1:8" s="2" customFormat="1" x14ac:dyDescent="0.2">
      <c r="A22" s="369" t="s">
        <v>286</v>
      </c>
      <c r="B22" s="159"/>
      <c r="C22" s="552"/>
      <c r="D22" s="546"/>
      <c r="E22" s="387"/>
      <c r="F22" s="387"/>
      <c r="G22" s="387"/>
      <c r="H22" s="387"/>
    </row>
    <row r="23" spans="1:8" s="2" customFormat="1" x14ac:dyDescent="0.2">
      <c r="A23" s="257" t="s">
        <v>287</v>
      </c>
      <c r="B23" s="391"/>
      <c r="C23" s="552"/>
      <c r="D23" s="546"/>
      <c r="E23" s="387"/>
      <c r="F23" s="387"/>
      <c r="G23" s="387"/>
      <c r="H23" s="387"/>
    </row>
    <row r="24" spans="1:8" s="2" customFormat="1" x14ac:dyDescent="0.2">
      <c r="A24" s="369" t="s">
        <v>288</v>
      </c>
      <c r="B24" s="174"/>
      <c r="C24" s="553"/>
      <c r="D24" s="546"/>
      <c r="E24" s="387"/>
      <c r="F24" s="387"/>
      <c r="G24" s="387"/>
      <c r="H24" s="387"/>
    </row>
    <row r="25" spans="1:8" s="2" customFormat="1" x14ac:dyDescent="0.2">
      <c r="A25" s="369" t="s">
        <v>289</v>
      </c>
      <c r="B25" s="174"/>
      <c r="C25" s="553"/>
      <c r="D25" s="546"/>
      <c r="E25" s="387"/>
      <c r="F25" s="387"/>
      <c r="G25" s="387"/>
      <c r="H25" s="387"/>
    </row>
    <row r="26" spans="1:8" s="2" customFormat="1" x14ac:dyDescent="0.2">
      <c r="A26" s="498" t="s">
        <v>226</v>
      </c>
      <c r="B26" s="418"/>
      <c r="C26" s="554" t="s">
        <v>312</v>
      </c>
      <c r="D26" s="546"/>
      <c r="E26" s="387"/>
      <c r="F26" s="387"/>
      <c r="G26" s="387"/>
      <c r="H26" s="387"/>
    </row>
    <row r="27" spans="1:8" s="2" customFormat="1" x14ac:dyDescent="0.2">
      <c r="A27" s="499" t="s">
        <v>313</v>
      </c>
      <c r="B27" s="391"/>
      <c r="C27" s="555"/>
      <c r="D27" s="546"/>
      <c r="E27" s="387"/>
      <c r="F27" s="387"/>
      <c r="G27" s="387"/>
      <c r="H27" s="387"/>
    </row>
    <row r="28" spans="1:8" s="2" customFormat="1" x14ac:dyDescent="0.2">
      <c r="A28" s="499" t="s">
        <v>314</v>
      </c>
      <c r="B28" s="391"/>
      <c r="C28" s="555"/>
      <c r="D28" s="546"/>
      <c r="E28" s="387"/>
      <c r="F28" s="387"/>
      <c r="G28" s="387"/>
      <c r="H28" s="387"/>
    </row>
    <row r="29" spans="1:8" s="2" customFormat="1" x14ac:dyDescent="0.2">
      <c r="A29" s="499" t="s">
        <v>315</v>
      </c>
      <c r="B29" s="391"/>
      <c r="C29" s="555"/>
      <c r="D29" s="546"/>
      <c r="E29" s="387"/>
      <c r="F29" s="387"/>
      <c r="G29" s="387"/>
      <c r="H29" s="387"/>
    </row>
    <row r="30" spans="1:8" s="2" customFormat="1" x14ac:dyDescent="0.2">
      <c r="A30" s="500" t="s">
        <v>316</v>
      </c>
      <c r="B30" s="419"/>
      <c r="C30" s="556" t="s">
        <v>317</v>
      </c>
      <c r="D30" s="546"/>
      <c r="E30" s="387"/>
      <c r="F30" s="387"/>
      <c r="G30" s="387"/>
      <c r="H30" s="387"/>
    </row>
    <row r="31" spans="1:8" s="2" customFormat="1" x14ac:dyDescent="0.2">
      <c r="A31" s="500" t="s">
        <v>318</v>
      </c>
      <c r="B31" s="419"/>
      <c r="C31" s="556" t="s">
        <v>319</v>
      </c>
      <c r="D31" s="546"/>
      <c r="E31" s="387"/>
      <c r="F31" s="387"/>
      <c r="G31" s="387"/>
      <c r="H31" s="387"/>
    </row>
    <row r="32" spans="1:8" s="2" customFormat="1" ht="15.75" customHeight="1" x14ac:dyDescent="0.2">
      <c r="A32" s="501" t="s">
        <v>320</v>
      </c>
      <c r="B32" s="420"/>
      <c r="C32" s="516" t="s">
        <v>321</v>
      </c>
      <c r="D32" s="546"/>
      <c r="E32" s="387"/>
      <c r="F32" s="387"/>
      <c r="G32" s="387"/>
      <c r="H32" s="387"/>
    </row>
    <row r="33" spans="1:8" s="2" customFormat="1" ht="15" x14ac:dyDescent="0.2">
      <c r="A33" s="268" t="s">
        <v>322</v>
      </c>
      <c r="B33" s="269"/>
      <c r="C33" s="237"/>
      <c r="D33" s="546"/>
      <c r="E33" s="387"/>
      <c r="F33" s="387" t="b">
        <f>$B11&lt;2</f>
        <v>1</v>
      </c>
      <c r="G33" s="387"/>
      <c r="H33" s="387"/>
    </row>
    <row r="34" spans="1:8" s="2" customFormat="1" ht="15" x14ac:dyDescent="0.2">
      <c r="A34" s="496" t="s">
        <v>72</v>
      </c>
      <c r="B34" s="235" t="s">
        <v>73</v>
      </c>
      <c r="C34" s="222" t="s">
        <v>244</v>
      </c>
      <c r="D34" s="546"/>
      <c r="E34" s="387"/>
      <c r="F34" s="387" t="b">
        <f>$F$33</f>
        <v>1</v>
      </c>
      <c r="G34" s="387"/>
      <c r="H34" s="387"/>
    </row>
    <row r="35" spans="1:8" s="2" customFormat="1" x14ac:dyDescent="0.2">
      <c r="A35" s="497" t="s">
        <v>216</v>
      </c>
      <c r="B35" s="224"/>
      <c r="C35" s="552"/>
      <c r="D35" s="546"/>
      <c r="E35" s="387"/>
      <c r="F35" s="387" t="b">
        <f t="shared" ref="F35:F46" si="0">$F$33</f>
        <v>1</v>
      </c>
      <c r="G35" s="387"/>
      <c r="H35" s="387"/>
    </row>
    <row r="36" spans="1:8" s="2" customFormat="1" x14ac:dyDescent="0.2">
      <c r="A36" s="369" t="s">
        <v>286</v>
      </c>
      <c r="B36" s="159"/>
      <c r="C36" s="552"/>
      <c r="D36" s="546"/>
      <c r="E36" s="387"/>
      <c r="F36" s="387" t="b">
        <f t="shared" si="0"/>
        <v>1</v>
      </c>
      <c r="G36" s="387"/>
      <c r="H36" s="387"/>
    </row>
    <row r="37" spans="1:8" s="2" customFormat="1" x14ac:dyDescent="0.2">
      <c r="A37" s="257" t="s">
        <v>287</v>
      </c>
      <c r="B37" s="391"/>
      <c r="C37" s="552"/>
      <c r="D37" s="546"/>
      <c r="E37" s="387"/>
      <c r="F37" s="387" t="b">
        <f t="shared" si="0"/>
        <v>1</v>
      </c>
      <c r="G37" s="387"/>
      <c r="H37" s="387"/>
    </row>
    <row r="38" spans="1:8" s="2" customFormat="1" x14ac:dyDescent="0.2">
      <c r="A38" s="369" t="s">
        <v>288</v>
      </c>
      <c r="B38" s="174"/>
      <c r="C38" s="553"/>
      <c r="D38" s="546"/>
      <c r="E38" s="387"/>
      <c r="F38" s="387" t="b">
        <f t="shared" si="0"/>
        <v>1</v>
      </c>
      <c r="G38" s="387"/>
      <c r="H38" s="387"/>
    </row>
    <row r="39" spans="1:8" s="2" customFormat="1" x14ac:dyDescent="0.2">
      <c r="A39" s="369" t="s">
        <v>289</v>
      </c>
      <c r="B39" s="174"/>
      <c r="C39" s="553"/>
      <c r="D39" s="546"/>
      <c r="E39" s="387"/>
      <c r="F39" s="387" t="b">
        <f t="shared" si="0"/>
        <v>1</v>
      </c>
      <c r="G39" s="387"/>
      <c r="H39" s="387"/>
    </row>
    <row r="40" spans="1:8" s="2" customFormat="1" x14ac:dyDescent="0.2">
      <c r="A40" s="498" t="s">
        <v>226</v>
      </c>
      <c r="B40" s="418"/>
      <c r="C40" s="554" t="s">
        <v>312</v>
      </c>
      <c r="D40" s="546"/>
      <c r="E40" s="387"/>
      <c r="F40" s="387" t="b">
        <f t="shared" si="0"/>
        <v>1</v>
      </c>
      <c r="G40" s="387"/>
      <c r="H40" s="387"/>
    </row>
    <row r="41" spans="1:8" s="2" customFormat="1" x14ac:dyDescent="0.2">
      <c r="A41" s="499" t="s">
        <v>313</v>
      </c>
      <c r="B41" s="391"/>
      <c r="C41" s="555"/>
      <c r="D41" s="546"/>
      <c r="E41" s="387"/>
      <c r="F41" s="387" t="b">
        <f t="shared" si="0"/>
        <v>1</v>
      </c>
      <c r="G41" s="387"/>
      <c r="H41" s="387"/>
    </row>
    <row r="42" spans="1:8" s="2" customFormat="1" x14ac:dyDescent="0.2">
      <c r="A42" s="499" t="s">
        <v>314</v>
      </c>
      <c r="B42" s="391"/>
      <c r="C42" s="555"/>
      <c r="D42" s="546"/>
      <c r="E42" s="387"/>
      <c r="F42" s="387" t="b">
        <f t="shared" si="0"/>
        <v>1</v>
      </c>
      <c r="G42" s="387"/>
      <c r="H42" s="387"/>
    </row>
    <row r="43" spans="1:8" s="2" customFormat="1" x14ac:dyDescent="0.2">
      <c r="A43" s="499" t="s">
        <v>315</v>
      </c>
      <c r="B43" s="391"/>
      <c r="C43" s="555"/>
      <c r="D43" s="546"/>
      <c r="E43" s="387"/>
      <c r="F43" s="387" t="b">
        <f t="shared" si="0"/>
        <v>1</v>
      </c>
      <c r="G43" s="387"/>
      <c r="H43" s="387"/>
    </row>
    <row r="44" spans="1:8" s="2" customFormat="1" x14ac:dyDescent="0.2">
      <c r="A44" s="500" t="s">
        <v>316</v>
      </c>
      <c r="B44" s="419"/>
      <c r="C44" s="556" t="s">
        <v>317</v>
      </c>
      <c r="D44" s="546"/>
      <c r="E44" s="387"/>
      <c r="F44" s="387" t="b">
        <f t="shared" si="0"/>
        <v>1</v>
      </c>
      <c r="G44" s="387"/>
      <c r="H44" s="387"/>
    </row>
    <row r="45" spans="1:8" s="2" customFormat="1" x14ac:dyDescent="0.2">
      <c r="A45" s="500" t="s">
        <v>318</v>
      </c>
      <c r="B45" s="419"/>
      <c r="C45" s="556" t="s">
        <v>319</v>
      </c>
      <c r="D45" s="546"/>
      <c r="E45" s="387"/>
      <c r="F45" s="387" t="b">
        <f t="shared" si="0"/>
        <v>1</v>
      </c>
      <c r="G45" s="387"/>
      <c r="H45" s="387"/>
    </row>
    <row r="46" spans="1:8" s="2" customFormat="1" x14ac:dyDescent="0.2">
      <c r="A46" s="501" t="s">
        <v>320</v>
      </c>
      <c r="B46" s="420"/>
      <c r="C46" s="516" t="s">
        <v>321</v>
      </c>
      <c r="D46" s="546"/>
      <c r="E46" s="387"/>
      <c r="F46" s="387" t="b">
        <f t="shared" si="0"/>
        <v>1</v>
      </c>
      <c r="G46" s="387"/>
      <c r="H46" s="387"/>
    </row>
    <row r="47" spans="1:8" s="2" customFormat="1" ht="15" x14ac:dyDescent="0.2">
      <c r="A47" s="236" t="s">
        <v>323</v>
      </c>
      <c r="B47" s="237"/>
      <c r="C47" s="237"/>
      <c r="D47" s="546"/>
      <c r="E47" s="387"/>
      <c r="F47" s="387" t="b">
        <f>$B$11&lt;3</f>
        <v>1</v>
      </c>
      <c r="G47" s="387"/>
      <c r="H47" s="387"/>
    </row>
    <row r="48" spans="1:8" s="2" customFormat="1" ht="15" x14ac:dyDescent="0.2">
      <c r="A48" s="496" t="s">
        <v>72</v>
      </c>
      <c r="B48" s="235" t="s">
        <v>73</v>
      </c>
      <c r="C48" s="222" t="s">
        <v>244</v>
      </c>
      <c r="D48" s="546"/>
      <c r="E48" s="387"/>
      <c r="F48" s="387" t="b">
        <f>$F$47</f>
        <v>1</v>
      </c>
      <c r="G48" s="387"/>
      <c r="H48" s="387"/>
    </row>
    <row r="49" spans="1:8" s="2" customFormat="1" x14ac:dyDescent="0.2">
      <c r="A49" s="497" t="s">
        <v>216</v>
      </c>
      <c r="B49" s="224"/>
      <c r="C49" s="557"/>
      <c r="D49" s="546"/>
      <c r="E49" s="387"/>
      <c r="F49" s="387" t="b">
        <f t="shared" ref="F49:F60" si="1">$F$47</f>
        <v>1</v>
      </c>
      <c r="G49" s="387"/>
      <c r="H49" s="387"/>
    </row>
    <row r="50" spans="1:8" s="2" customFormat="1" x14ac:dyDescent="0.2">
      <c r="A50" s="369" t="s">
        <v>286</v>
      </c>
      <c r="B50" s="159"/>
      <c r="C50" s="555"/>
      <c r="D50" s="546"/>
      <c r="E50" s="387"/>
      <c r="F50" s="387" t="b">
        <f t="shared" si="1"/>
        <v>1</v>
      </c>
      <c r="G50" s="387"/>
      <c r="H50" s="387"/>
    </row>
    <row r="51" spans="1:8" s="2" customFormat="1" x14ac:dyDescent="0.2">
      <c r="A51" s="257" t="s">
        <v>287</v>
      </c>
      <c r="B51" s="391"/>
      <c r="C51" s="555"/>
      <c r="D51" s="546"/>
      <c r="E51" s="387"/>
      <c r="F51" s="387" t="b">
        <f t="shared" si="1"/>
        <v>1</v>
      </c>
      <c r="G51" s="387"/>
      <c r="H51" s="387"/>
    </row>
    <row r="52" spans="1:8" s="2" customFormat="1" x14ac:dyDescent="0.2">
      <c r="A52" s="369" t="s">
        <v>288</v>
      </c>
      <c r="B52" s="174"/>
      <c r="C52" s="553"/>
      <c r="D52" s="546"/>
      <c r="E52" s="387"/>
      <c r="F52" s="387" t="b">
        <f t="shared" si="1"/>
        <v>1</v>
      </c>
      <c r="G52" s="387"/>
      <c r="H52" s="387"/>
    </row>
    <row r="53" spans="1:8" s="2" customFormat="1" x14ac:dyDescent="0.2">
      <c r="A53" s="369" t="s">
        <v>289</v>
      </c>
      <c r="B53" s="174"/>
      <c r="C53" s="553"/>
      <c r="D53" s="546"/>
      <c r="E53" s="387"/>
      <c r="F53" s="387" t="b">
        <f t="shared" si="1"/>
        <v>1</v>
      </c>
      <c r="G53" s="387"/>
      <c r="H53" s="387"/>
    </row>
    <row r="54" spans="1:8" s="2" customFormat="1" x14ac:dyDescent="0.2">
      <c r="A54" s="498" t="s">
        <v>226</v>
      </c>
      <c r="B54" s="418"/>
      <c r="C54" s="554" t="s">
        <v>312</v>
      </c>
      <c r="D54" s="546"/>
      <c r="E54" s="387"/>
      <c r="F54" s="387" t="b">
        <f t="shared" si="1"/>
        <v>1</v>
      </c>
      <c r="G54" s="387"/>
      <c r="H54" s="387"/>
    </row>
    <row r="55" spans="1:8" s="2" customFormat="1" x14ac:dyDescent="0.2">
      <c r="A55" s="499" t="s">
        <v>313</v>
      </c>
      <c r="B55" s="391"/>
      <c r="C55" s="555"/>
      <c r="D55" s="546"/>
      <c r="E55" s="387"/>
      <c r="F55" s="387" t="b">
        <f t="shared" si="1"/>
        <v>1</v>
      </c>
      <c r="G55" s="387"/>
      <c r="H55" s="387"/>
    </row>
    <row r="56" spans="1:8" s="2" customFormat="1" x14ac:dyDescent="0.2">
      <c r="A56" s="499" t="s">
        <v>314</v>
      </c>
      <c r="B56" s="391"/>
      <c r="C56" s="555"/>
      <c r="D56" s="546"/>
      <c r="E56" s="387"/>
      <c r="F56" s="387" t="b">
        <f t="shared" si="1"/>
        <v>1</v>
      </c>
      <c r="G56" s="387"/>
      <c r="H56" s="387"/>
    </row>
    <row r="57" spans="1:8" s="2" customFormat="1" x14ac:dyDescent="0.2">
      <c r="A57" s="499" t="s">
        <v>315</v>
      </c>
      <c r="B57" s="391"/>
      <c r="C57" s="555"/>
      <c r="D57" s="546"/>
      <c r="E57" s="387"/>
      <c r="F57" s="387" t="b">
        <f t="shared" si="1"/>
        <v>1</v>
      </c>
      <c r="G57" s="387"/>
      <c r="H57" s="387"/>
    </row>
    <row r="58" spans="1:8" s="2" customFormat="1" x14ac:dyDescent="0.2">
      <c r="A58" s="500" t="s">
        <v>316</v>
      </c>
      <c r="B58" s="419"/>
      <c r="C58" s="556" t="s">
        <v>317</v>
      </c>
      <c r="D58" s="546"/>
      <c r="E58" s="387"/>
      <c r="F58" s="387" t="b">
        <f t="shared" si="1"/>
        <v>1</v>
      </c>
      <c r="G58" s="387"/>
      <c r="H58" s="387"/>
    </row>
    <row r="59" spans="1:8" s="2" customFormat="1" x14ac:dyDescent="0.2">
      <c r="A59" s="500" t="s">
        <v>318</v>
      </c>
      <c r="B59" s="419"/>
      <c r="C59" s="556" t="s">
        <v>319</v>
      </c>
      <c r="D59" s="546"/>
      <c r="E59" s="387"/>
      <c r="F59" s="387" t="b">
        <f t="shared" si="1"/>
        <v>1</v>
      </c>
      <c r="G59" s="387"/>
      <c r="H59" s="387"/>
    </row>
    <row r="60" spans="1:8" s="2" customFormat="1" x14ac:dyDescent="0.2">
      <c r="A60" s="501" t="s">
        <v>320</v>
      </c>
      <c r="B60" s="420"/>
      <c r="C60" s="516" t="s">
        <v>321</v>
      </c>
      <c r="D60" s="546"/>
      <c r="E60" s="387"/>
      <c r="F60" s="387" t="b">
        <f t="shared" si="1"/>
        <v>1</v>
      </c>
      <c r="G60" s="387"/>
      <c r="H60" s="387"/>
    </row>
    <row r="61" spans="1:8" s="2" customFormat="1" ht="15" x14ac:dyDescent="0.2">
      <c r="A61" s="236" t="s">
        <v>324</v>
      </c>
      <c r="B61" s="237"/>
      <c r="C61" s="237"/>
      <c r="D61" s="546"/>
      <c r="E61" s="387"/>
      <c r="F61" s="387" t="b">
        <f>$B$11&lt;4</f>
        <v>1</v>
      </c>
      <c r="G61" s="387"/>
      <c r="H61" s="387"/>
    </row>
    <row r="62" spans="1:8" s="2" customFormat="1" ht="15" x14ac:dyDescent="0.2">
      <c r="A62" s="496" t="s">
        <v>72</v>
      </c>
      <c r="B62" s="235" t="s">
        <v>73</v>
      </c>
      <c r="C62" s="222" t="s">
        <v>244</v>
      </c>
      <c r="D62" s="546"/>
      <c r="E62" s="387"/>
      <c r="F62" s="387" t="b">
        <f>$F$61</f>
        <v>1</v>
      </c>
      <c r="G62" s="387"/>
      <c r="H62" s="387"/>
    </row>
    <row r="63" spans="1:8" s="2" customFormat="1" x14ac:dyDescent="0.2">
      <c r="A63" s="497" t="s">
        <v>216</v>
      </c>
      <c r="B63" s="224"/>
      <c r="C63" s="552"/>
      <c r="D63" s="546"/>
      <c r="E63" s="387"/>
      <c r="F63" s="387" t="b">
        <f t="shared" ref="F63:F74" si="2">$F$61</f>
        <v>1</v>
      </c>
      <c r="G63" s="387"/>
      <c r="H63" s="387"/>
    </row>
    <row r="64" spans="1:8" s="2" customFormat="1" x14ac:dyDescent="0.2">
      <c r="A64" s="369" t="s">
        <v>286</v>
      </c>
      <c r="B64" s="159"/>
      <c r="C64" s="552"/>
      <c r="D64" s="546"/>
      <c r="E64" s="387"/>
      <c r="F64" s="387" t="b">
        <f t="shared" si="2"/>
        <v>1</v>
      </c>
      <c r="G64" s="387"/>
      <c r="H64" s="387"/>
    </row>
    <row r="65" spans="1:8" s="2" customFormat="1" x14ac:dyDescent="0.2">
      <c r="A65" s="257" t="s">
        <v>287</v>
      </c>
      <c r="B65" s="391"/>
      <c r="C65" s="552"/>
      <c r="D65" s="546"/>
      <c r="E65" s="387"/>
      <c r="F65" s="387" t="b">
        <f t="shared" si="2"/>
        <v>1</v>
      </c>
      <c r="G65" s="387"/>
      <c r="H65" s="387"/>
    </row>
    <row r="66" spans="1:8" s="2" customFormat="1" x14ac:dyDescent="0.2">
      <c r="A66" s="369" t="s">
        <v>288</v>
      </c>
      <c r="B66" s="174"/>
      <c r="C66" s="553"/>
      <c r="D66" s="546"/>
      <c r="E66" s="387"/>
      <c r="F66" s="387" t="b">
        <f t="shared" si="2"/>
        <v>1</v>
      </c>
      <c r="G66" s="387"/>
      <c r="H66" s="387"/>
    </row>
    <row r="67" spans="1:8" s="2" customFormat="1" x14ac:dyDescent="0.2">
      <c r="A67" s="369" t="s">
        <v>289</v>
      </c>
      <c r="B67" s="174"/>
      <c r="C67" s="553"/>
      <c r="D67" s="546"/>
      <c r="E67" s="387"/>
      <c r="F67" s="387" t="b">
        <f t="shared" si="2"/>
        <v>1</v>
      </c>
      <c r="G67" s="387"/>
      <c r="H67" s="387"/>
    </row>
    <row r="68" spans="1:8" s="2" customFormat="1" x14ac:dyDescent="0.2">
      <c r="A68" s="498" t="s">
        <v>226</v>
      </c>
      <c r="B68" s="418"/>
      <c r="C68" s="554" t="s">
        <v>312</v>
      </c>
      <c r="D68" s="546"/>
      <c r="E68" s="387"/>
      <c r="F68" s="387" t="b">
        <f t="shared" si="2"/>
        <v>1</v>
      </c>
      <c r="G68" s="387"/>
      <c r="H68" s="387"/>
    </row>
    <row r="69" spans="1:8" s="2" customFormat="1" x14ac:dyDescent="0.2">
      <c r="A69" s="499" t="s">
        <v>313</v>
      </c>
      <c r="B69" s="391"/>
      <c r="C69" s="555"/>
      <c r="D69" s="546"/>
      <c r="E69" s="387"/>
      <c r="F69" s="387" t="b">
        <f t="shared" si="2"/>
        <v>1</v>
      </c>
      <c r="G69" s="387"/>
      <c r="H69" s="387"/>
    </row>
    <row r="70" spans="1:8" s="2" customFormat="1" x14ac:dyDescent="0.2">
      <c r="A70" s="499" t="s">
        <v>314</v>
      </c>
      <c r="B70" s="391"/>
      <c r="C70" s="555"/>
      <c r="D70" s="546"/>
      <c r="E70" s="387"/>
      <c r="F70" s="387" t="b">
        <f t="shared" si="2"/>
        <v>1</v>
      </c>
      <c r="G70" s="387"/>
      <c r="H70" s="387"/>
    </row>
    <row r="71" spans="1:8" s="2" customFormat="1" x14ac:dyDescent="0.2">
      <c r="A71" s="499" t="s">
        <v>315</v>
      </c>
      <c r="B71" s="391"/>
      <c r="C71" s="555"/>
      <c r="D71" s="546"/>
      <c r="E71" s="387"/>
      <c r="F71" s="387" t="b">
        <f t="shared" si="2"/>
        <v>1</v>
      </c>
      <c r="G71" s="387"/>
      <c r="H71" s="387"/>
    </row>
    <row r="72" spans="1:8" s="2" customFormat="1" x14ac:dyDescent="0.2">
      <c r="A72" s="500" t="s">
        <v>316</v>
      </c>
      <c r="B72" s="419"/>
      <c r="C72" s="556" t="s">
        <v>317</v>
      </c>
      <c r="D72" s="546"/>
      <c r="E72" s="387"/>
      <c r="F72" s="387" t="b">
        <f t="shared" si="2"/>
        <v>1</v>
      </c>
      <c r="G72" s="387"/>
      <c r="H72" s="387"/>
    </row>
    <row r="73" spans="1:8" s="2" customFormat="1" x14ac:dyDescent="0.2">
      <c r="A73" s="500" t="s">
        <v>318</v>
      </c>
      <c r="B73" s="419"/>
      <c r="C73" s="556" t="s">
        <v>319</v>
      </c>
      <c r="D73" s="546"/>
      <c r="E73" s="387"/>
      <c r="F73" s="387" t="b">
        <f t="shared" si="2"/>
        <v>1</v>
      </c>
      <c r="G73" s="387"/>
      <c r="H73" s="387"/>
    </row>
    <row r="74" spans="1:8" s="2" customFormat="1" x14ac:dyDescent="0.2">
      <c r="A74" s="501" t="s">
        <v>320</v>
      </c>
      <c r="B74" s="420"/>
      <c r="C74" s="516" t="s">
        <v>321</v>
      </c>
      <c r="D74" s="546"/>
      <c r="E74" s="387"/>
      <c r="F74" s="387" t="b">
        <f t="shared" si="2"/>
        <v>1</v>
      </c>
      <c r="G74" s="387"/>
      <c r="H74" s="387"/>
    </row>
    <row r="75" spans="1:8" s="2" customFormat="1" ht="15" x14ac:dyDescent="0.2">
      <c r="A75" s="236" t="s">
        <v>325</v>
      </c>
      <c r="B75" s="237"/>
      <c r="C75" s="237"/>
      <c r="D75" s="546"/>
      <c r="E75" s="387"/>
      <c r="F75" s="387" t="b">
        <f>$B$11&lt;5</f>
        <v>1</v>
      </c>
      <c r="G75" s="387"/>
      <c r="H75" s="387"/>
    </row>
    <row r="76" spans="1:8" s="2" customFormat="1" ht="15" x14ac:dyDescent="0.2">
      <c r="A76" s="496" t="s">
        <v>72</v>
      </c>
      <c r="B76" s="235" t="s">
        <v>73</v>
      </c>
      <c r="C76" s="222" t="s">
        <v>244</v>
      </c>
      <c r="D76" s="546"/>
      <c r="E76" s="387"/>
      <c r="F76" s="387" t="b">
        <f>$F$75</f>
        <v>1</v>
      </c>
      <c r="G76" s="387"/>
      <c r="H76" s="387"/>
    </row>
    <row r="77" spans="1:8" s="2" customFormat="1" x14ac:dyDescent="0.2">
      <c r="A77" s="497" t="s">
        <v>216</v>
      </c>
      <c r="B77" s="224"/>
      <c r="C77" s="552"/>
      <c r="D77" s="546"/>
      <c r="E77" s="387"/>
      <c r="F77" s="387" t="b">
        <f t="shared" ref="F77:F88" si="3">$F$75</f>
        <v>1</v>
      </c>
      <c r="G77" s="387"/>
      <c r="H77" s="387"/>
    </row>
    <row r="78" spans="1:8" s="2" customFormat="1" x14ac:dyDescent="0.2">
      <c r="A78" s="369" t="s">
        <v>286</v>
      </c>
      <c r="B78" s="159"/>
      <c r="C78" s="552"/>
      <c r="D78" s="546"/>
      <c r="E78" s="387"/>
      <c r="F78" s="387" t="b">
        <f t="shared" si="3"/>
        <v>1</v>
      </c>
      <c r="G78" s="387"/>
      <c r="H78" s="387"/>
    </row>
    <row r="79" spans="1:8" s="2" customFormat="1" x14ac:dyDescent="0.2">
      <c r="A79" s="257" t="s">
        <v>287</v>
      </c>
      <c r="B79" s="391"/>
      <c r="C79" s="552"/>
      <c r="D79" s="546"/>
      <c r="E79" s="387"/>
      <c r="F79" s="387" t="b">
        <f t="shared" si="3"/>
        <v>1</v>
      </c>
      <c r="G79" s="387"/>
      <c r="H79" s="387"/>
    </row>
    <row r="80" spans="1:8" s="2" customFormat="1" x14ac:dyDescent="0.2">
      <c r="A80" s="369" t="s">
        <v>288</v>
      </c>
      <c r="B80" s="174"/>
      <c r="C80" s="553"/>
      <c r="D80" s="546"/>
      <c r="E80" s="387"/>
      <c r="F80" s="387" t="b">
        <f t="shared" si="3"/>
        <v>1</v>
      </c>
      <c r="G80" s="387"/>
      <c r="H80" s="387"/>
    </row>
    <row r="81" spans="1:8" s="2" customFormat="1" x14ac:dyDescent="0.2">
      <c r="A81" s="369" t="s">
        <v>289</v>
      </c>
      <c r="B81" s="174"/>
      <c r="C81" s="553"/>
      <c r="D81" s="546"/>
      <c r="E81" s="387"/>
      <c r="F81" s="387" t="b">
        <f t="shared" si="3"/>
        <v>1</v>
      </c>
      <c r="G81" s="387"/>
      <c r="H81" s="387"/>
    </row>
    <row r="82" spans="1:8" s="2" customFormat="1" x14ac:dyDescent="0.2">
      <c r="A82" s="498" t="s">
        <v>226</v>
      </c>
      <c r="B82" s="418"/>
      <c r="C82" s="554" t="s">
        <v>312</v>
      </c>
      <c r="D82" s="546"/>
      <c r="E82" s="387"/>
      <c r="F82" s="387" t="b">
        <f t="shared" si="3"/>
        <v>1</v>
      </c>
      <c r="G82" s="387"/>
      <c r="H82" s="387"/>
    </row>
    <row r="83" spans="1:8" s="2" customFormat="1" x14ac:dyDescent="0.2">
      <c r="A83" s="499" t="s">
        <v>313</v>
      </c>
      <c r="B83" s="391"/>
      <c r="C83" s="555"/>
      <c r="D83" s="546"/>
      <c r="E83" s="387"/>
      <c r="F83" s="387" t="b">
        <f t="shared" si="3"/>
        <v>1</v>
      </c>
      <c r="G83" s="387"/>
      <c r="H83" s="387"/>
    </row>
    <row r="84" spans="1:8" s="2" customFormat="1" x14ac:dyDescent="0.2">
      <c r="A84" s="499" t="s">
        <v>314</v>
      </c>
      <c r="B84" s="391"/>
      <c r="C84" s="555"/>
      <c r="D84" s="546"/>
      <c r="E84" s="387"/>
      <c r="F84" s="387" t="b">
        <f t="shared" si="3"/>
        <v>1</v>
      </c>
      <c r="G84" s="387"/>
      <c r="H84" s="387"/>
    </row>
    <row r="85" spans="1:8" s="2" customFormat="1" x14ac:dyDescent="0.2">
      <c r="A85" s="499" t="s">
        <v>315</v>
      </c>
      <c r="B85" s="391"/>
      <c r="C85" s="555"/>
      <c r="D85" s="546"/>
      <c r="E85" s="387"/>
      <c r="F85" s="387" t="b">
        <f t="shared" si="3"/>
        <v>1</v>
      </c>
      <c r="G85" s="387"/>
      <c r="H85" s="387"/>
    </row>
    <row r="86" spans="1:8" s="2" customFormat="1" x14ac:dyDescent="0.2">
      <c r="A86" s="500" t="s">
        <v>316</v>
      </c>
      <c r="B86" s="419"/>
      <c r="C86" s="556" t="s">
        <v>317</v>
      </c>
      <c r="D86" s="546"/>
      <c r="E86" s="387"/>
      <c r="F86" s="387" t="b">
        <f t="shared" si="3"/>
        <v>1</v>
      </c>
      <c r="G86" s="387"/>
      <c r="H86" s="387"/>
    </row>
    <row r="87" spans="1:8" s="2" customFormat="1" x14ac:dyDescent="0.2">
      <c r="A87" s="500" t="s">
        <v>318</v>
      </c>
      <c r="B87" s="419"/>
      <c r="C87" s="556" t="s">
        <v>319</v>
      </c>
      <c r="D87" s="546"/>
      <c r="E87" s="387"/>
      <c r="F87" s="387" t="b">
        <f t="shared" si="3"/>
        <v>1</v>
      </c>
      <c r="G87" s="387"/>
      <c r="H87" s="387"/>
    </row>
    <row r="88" spans="1:8" s="2" customFormat="1" x14ac:dyDescent="0.2">
      <c r="A88" s="501" t="s">
        <v>320</v>
      </c>
      <c r="B88" s="420"/>
      <c r="C88" s="516" t="s">
        <v>321</v>
      </c>
      <c r="D88" s="546"/>
      <c r="E88" s="387"/>
      <c r="F88" s="387" t="b">
        <f t="shared" si="3"/>
        <v>1</v>
      </c>
      <c r="G88" s="387"/>
      <c r="H88" s="387"/>
    </row>
    <row r="89" spans="1:8" s="2" customFormat="1" ht="15" x14ac:dyDescent="0.2">
      <c r="A89" s="236" t="s">
        <v>326</v>
      </c>
      <c r="B89" s="237"/>
      <c r="C89" s="237"/>
      <c r="D89" s="546"/>
      <c r="E89" s="387"/>
      <c r="F89" s="387" t="b">
        <f>$B$11&lt;6</f>
        <v>1</v>
      </c>
      <c r="G89" s="387"/>
      <c r="H89" s="387"/>
    </row>
    <row r="90" spans="1:8" s="2" customFormat="1" ht="15" x14ac:dyDescent="0.2">
      <c r="A90" s="496" t="s">
        <v>72</v>
      </c>
      <c r="B90" s="235" t="s">
        <v>73</v>
      </c>
      <c r="C90" s="222" t="s">
        <v>244</v>
      </c>
      <c r="D90" s="546"/>
      <c r="E90" s="387"/>
      <c r="F90" s="387" t="b">
        <f>$F$89</f>
        <v>1</v>
      </c>
      <c r="G90" s="387"/>
      <c r="H90" s="387"/>
    </row>
    <row r="91" spans="1:8" s="2" customFormat="1" x14ac:dyDescent="0.2">
      <c r="A91" s="497" t="s">
        <v>216</v>
      </c>
      <c r="B91" s="224"/>
      <c r="C91" s="552"/>
      <c r="D91" s="546"/>
      <c r="E91" s="387"/>
      <c r="F91" s="387" t="b">
        <f t="shared" ref="F91:F102" si="4">$F$89</f>
        <v>1</v>
      </c>
      <c r="G91" s="387"/>
      <c r="H91" s="387"/>
    </row>
    <row r="92" spans="1:8" s="2" customFormat="1" x14ac:dyDescent="0.2">
      <c r="A92" s="369" t="s">
        <v>286</v>
      </c>
      <c r="B92" s="159"/>
      <c r="C92" s="552"/>
      <c r="D92" s="546"/>
      <c r="E92" s="387"/>
      <c r="F92" s="387" t="b">
        <f t="shared" si="4"/>
        <v>1</v>
      </c>
      <c r="G92" s="387"/>
      <c r="H92" s="387"/>
    </row>
    <row r="93" spans="1:8" s="2" customFormat="1" x14ac:dyDescent="0.2">
      <c r="A93" s="257" t="s">
        <v>287</v>
      </c>
      <c r="B93" s="391"/>
      <c r="C93" s="552"/>
      <c r="D93" s="546"/>
      <c r="E93" s="387"/>
      <c r="F93" s="387" t="b">
        <f t="shared" si="4"/>
        <v>1</v>
      </c>
      <c r="G93" s="387"/>
      <c r="H93" s="387"/>
    </row>
    <row r="94" spans="1:8" s="2" customFormat="1" x14ac:dyDescent="0.2">
      <c r="A94" s="369" t="s">
        <v>288</v>
      </c>
      <c r="B94" s="174"/>
      <c r="C94" s="553"/>
      <c r="D94" s="546"/>
      <c r="E94" s="387"/>
      <c r="F94" s="387" t="b">
        <f t="shared" si="4"/>
        <v>1</v>
      </c>
      <c r="G94" s="387"/>
      <c r="H94" s="387"/>
    </row>
    <row r="95" spans="1:8" s="2" customFormat="1" x14ac:dyDescent="0.2">
      <c r="A95" s="369" t="s">
        <v>289</v>
      </c>
      <c r="B95" s="174"/>
      <c r="C95" s="553"/>
      <c r="D95" s="546"/>
      <c r="E95" s="387"/>
      <c r="F95" s="387" t="b">
        <f t="shared" si="4"/>
        <v>1</v>
      </c>
      <c r="G95" s="387"/>
      <c r="H95" s="387"/>
    </row>
    <row r="96" spans="1:8" s="2" customFormat="1" x14ac:dyDescent="0.2">
      <c r="A96" s="498" t="s">
        <v>226</v>
      </c>
      <c r="B96" s="418"/>
      <c r="C96" s="554" t="s">
        <v>312</v>
      </c>
      <c r="D96" s="546"/>
      <c r="E96" s="387"/>
      <c r="F96" s="387" t="b">
        <f t="shared" si="4"/>
        <v>1</v>
      </c>
      <c r="G96" s="387"/>
      <c r="H96" s="387"/>
    </row>
    <row r="97" spans="1:8" s="2" customFormat="1" x14ac:dyDescent="0.2">
      <c r="A97" s="499" t="s">
        <v>313</v>
      </c>
      <c r="B97" s="391"/>
      <c r="C97" s="555"/>
      <c r="D97" s="546"/>
      <c r="E97" s="387"/>
      <c r="F97" s="387" t="b">
        <f t="shared" si="4"/>
        <v>1</v>
      </c>
      <c r="G97" s="387"/>
      <c r="H97" s="387"/>
    </row>
    <row r="98" spans="1:8" s="2" customFormat="1" x14ac:dyDescent="0.2">
      <c r="A98" s="499" t="s">
        <v>314</v>
      </c>
      <c r="B98" s="391"/>
      <c r="C98" s="555"/>
      <c r="D98" s="546"/>
      <c r="E98" s="387"/>
      <c r="F98" s="387" t="b">
        <f t="shared" si="4"/>
        <v>1</v>
      </c>
      <c r="G98" s="387"/>
      <c r="H98" s="387"/>
    </row>
    <row r="99" spans="1:8" s="2" customFormat="1" x14ac:dyDescent="0.2">
      <c r="A99" s="499" t="s">
        <v>315</v>
      </c>
      <c r="B99" s="391"/>
      <c r="C99" s="555"/>
      <c r="D99" s="546"/>
      <c r="E99" s="387"/>
      <c r="F99" s="387" t="b">
        <f t="shared" si="4"/>
        <v>1</v>
      </c>
      <c r="G99" s="387"/>
      <c r="H99" s="387"/>
    </row>
    <row r="100" spans="1:8" s="2" customFormat="1" x14ac:dyDescent="0.2">
      <c r="A100" s="500" t="s">
        <v>316</v>
      </c>
      <c r="B100" s="419"/>
      <c r="C100" s="556" t="s">
        <v>317</v>
      </c>
      <c r="D100" s="546"/>
      <c r="E100" s="387"/>
      <c r="F100" s="387" t="b">
        <f t="shared" si="4"/>
        <v>1</v>
      </c>
      <c r="G100" s="387"/>
      <c r="H100" s="387"/>
    </row>
    <row r="101" spans="1:8" s="2" customFormat="1" x14ac:dyDescent="0.2">
      <c r="A101" s="500" t="s">
        <v>318</v>
      </c>
      <c r="B101" s="419"/>
      <c r="C101" s="556" t="s">
        <v>319</v>
      </c>
      <c r="D101" s="546"/>
      <c r="E101" s="387"/>
      <c r="F101" s="387" t="b">
        <f t="shared" si="4"/>
        <v>1</v>
      </c>
      <c r="G101" s="387"/>
      <c r="H101" s="387"/>
    </row>
    <row r="102" spans="1:8" s="2" customFormat="1" x14ac:dyDescent="0.2">
      <c r="A102" s="501" t="s">
        <v>320</v>
      </c>
      <c r="B102" s="420"/>
      <c r="C102" s="516" t="s">
        <v>321</v>
      </c>
      <c r="D102" s="546"/>
      <c r="E102" s="387"/>
      <c r="F102" s="387" t="b">
        <f t="shared" si="4"/>
        <v>1</v>
      </c>
      <c r="G102" s="387"/>
      <c r="H102" s="387"/>
    </row>
    <row r="103" spans="1:8" s="2" customFormat="1" ht="15" x14ac:dyDescent="0.2">
      <c r="A103" s="236" t="s">
        <v>327</v>
      </c>
      <c r="B103" s="237"/>
      <c r="C103" s="237"/>
      <c r="D103" s="546"/>
      <c r="E103" s="387"/>
      <c r="F103" s="387" t="b">
        <f>$B$11&lt;7</f>
        <v>1</v>
      </c>
      <c r="G103" s="387"/>
      <c r="H103" s="387"/>
    </row>
    <row r="104" spans="1:8" s="2" customFormat="1" ht="15" x14ac:dyDescent="0.2">
      <c r="A104" s="496" t="s">
        <v>72</v>
      </c>
      <c r="B104" s="235" t="s">
        <v>73</v>
      </c>
      <c r="C104" s="222" t="s">
        <v>244</v>
      </c>
      <c r="D104" s="546"/>
      <c r="E104" s="387"/>
      <c r="F104" s="387" t="b">
        <f>$F$103</f>
        <v>1</v>
      </c>
      <c r="G104" s="387"/>
      <c r="H104" s="387"/>
    </row>
    <row r="105" spans="1:8" s="2" customFormat="1" x14ac:dyDescent="0.2">
      <c r="A105" s="497" t="s">
        <v>216</v>
      </c>
      <c r="B105" s="224"/>
      <c r="C105" s="552"/>
      <c r="D105" s="546"/>
      <c r="E105" s="387"/>
      <c r="F105" s="387" t="b">
        <f t="shared" ref="F105:F116" si="5">$F$103</f>
        <v>1</v>
      </c>
      <c r="G105" s="387"/>
      <c r="H105" s="387"/>
    </row>
    <row r="106" spans="1:8" s="2" customFormat="1" x14ac:dyDescent="0.2">
      <c r="A106" s="369" t="s">
        <v>286</v>
      </c>
      <c r="B106" s="159"/>
      <c r="C106" s="552"/>
      <c r="D106" s="546"/>
      <c r="E106" s="387"/>
      <c r="F106" s="387" t="b">
        <f t="shared" si="5"/>
        <v>1</v>
      </c>
      <c r="G106" s="387"/>
      <c r="H106" s="387"/>
    </row>
    <row r="107" spans="1:8" s="2" customFormat="1" x14ac:dyDescent="0.2">
      <c r="A107" s="257" t="s">
        <v>287</v>
      </c>
      <c r="B107" s="391"/>
      <c r="C107" s="552"/>
      <c r="D107" s="546"/>
      <c r="E107" s="387"/>
      <c r="F107" s="387" t="b">
        <f t="shared" si="5"/>
        <v>1</v>
      </c>
      <c r="G107" s="387"/>
      <c r="H107" s="387"/>
    </row>
    <row r="108" spans="1:8" s="2" customFormat="1" x14ac:dyDescent="0.2">
      <c r="A108" s="369" t="s">
        <v>288</v>
      </c>
      <c r="B108" s="174"/>
      <c r="C108" s="553"/>
      <c r="D108" s="546"/>
      <c r="E108" s="387"/>
      <c r="F108" s="387" t="b">
        <f t="shared" si="5"/>
        <v>1</v>
      </c>
      <c r="G108" s="387"/>
      <c r="H108" s="387"/>
    </row>
    <row r="109" spans="1:8" s="2" customFormat="1" x14ac:dyDescent="0.2">
      <c r="A109" s="369" t="s">
        <v>289</v>
      </c>
      <c r="B109" s="174"/>
      <c r="C109" s="553"/>
      <c r="D109" s="546"/>
      <c r="E109" s="387"/>
      <c r="F109" s="387" t="b">
        <f t="shared" si="5"/>
        <v>1</v>
      </c>
      <c r="G109" s="387"/>
      <c r="H109" s="387"/>
    </row>
    <row r="110" spans="1:8" s="2" customFormat="1" x14ac:dyDescent="0.2">
      <c r="A110" s="498" t="s">
        <v>226</v>
      </c>
      <c r="B110" s="418"/>
      <c r="C110" s="554" t="s">
        <v>312</v>
      </c>
      <c r="D110" s="546"/>
      <c r="E110" s="387"/>
      <c r="F110" s="387" t="b">
        <f t="shared" si="5"/>
        <v>1</v>
      </c>
      <c r="G110" s="387"/>
      <c r="H110" s="387"/>
    </row>
    <row r="111" spans="1:8" s="2" customFormat="1" x14ac:dyDescent="0.2">
      <c r="A111" s="499" t="s">
        <v>313</v>
      </c>
      <c r="B111" s="391"/>
      <c r="C111" s="555"/>
      <c r="D111" s="546"/>
      <c r="E111" s="387"/>
      <c r="F111" s="387" t="b">
        <f t="shared" si="5"/>
        <v>1</v>
      </c>
      <c r="G111" s="387"/>
      <c r="H111" s="387"/>
    </row>
    <row r="112" spans="1:8" s="2" customFormat="1" x14ac:dyDescent="0.2">
      <c r="A112" s="499" t="s">
        <v>314</v>
      </c>
      <c r="B112" s="391"/>
      <c r="C112" s="555"/>
      <c r="D112" s="546"/>
      <c r="E112" s="387"/>
      <c r="F112" s="387" t="b">
        <f t="shared" si="5"/>
        <v>1</v>
      </c>
      <c r="G112" s="387"/>
      <c r="H112" s="387"/>
    </row>
    <row r="113" spans="1:8" s="2" customFormat="1" x14ac:dyDescent="0.2">
      <c r="A113" s="499" t="s">
        <v>315</v>
      </c>
      <c r="B113" s="391"/>
      <c r="C113" s="555"/>
      <c r="D113" s="546"/>
      <c r="E113" s="387"/>
      <c r="F113" s="387" t="b">
        <f t="shared" si="5"/>
        <v>1</v>
      </c>
      <c r="G113" s="387"/>
      <c r="H113" s="387"/>
    </row>
    <row r="114" spans="1:8" s="2" customFormat="1" x14ac:dyDescent="0.2">
      <c r="A114" s="500" t="s">
        <v>316</v>
      </c>
      <c r="B114" s="421"/>
      <c r="C114" s="556" t="s">
        <v>317</v>
      </c>
      <c r="D114" s="546"/>
      <c r="E114" s="387"/>
      <c r="F114" s="387" t="b">
        <f t="shared" si="5"/>
        <v>1</v>
      </c>
      <c r="G114" s="387"/>
      <c r="H114" s="387"/>
    </row>
    <row r="115" spans="1:8" s="2" customFormat="1" x14ac:dyDescent="0.2">
      <c r="A115" s="500" t="s">
        <v>318</v>
      </c>
      <c r="B115" s="421"/>
      <c r="C115" s="556" t="s">
        <v>319</v>
      </c>
      <c r="D115" s="546"/>
      <c r="E115" s="387"/>
      <c r="F115" s="387" t="b">
        <f t="shared" si="5"/>
        <v>1</v>
      </c>
      <c r="G115" s="387"/>
      <c r="H115" s="387"/>
    </row>
    <row r="116" spans="1:8" s="2" customFormat="1" x14ac:dyDescent="0.2">
      <c r="A116" s="501" t="s">
        <v>320</v>
      </c>
      <c r="B116" s="422"/>
      <c r="C116" s="516" t="s">
        <v>321</v>
      </c>
      <c r="D116" s="546"/>
      <c r="E116" s="387"/>
      <c r="F116" s="387" t="b">
        <f t="shared" si="5"/>
        <v>1</v>
      </c>
      <c r="G116" s="387"/>
      <c r="H116" s="387"/>
    </row>
    <row r="117" spans="1:8" s="2" customFormat="1" ht="15" x14ac:dyDescent="0.2">
      <c r="A117" s="236" t="s">
        <v>328</v>
      </c>
      <c r="B117" s="237"/>
      <c r="C117" s="237"/>
      <c r="D117" s="546"/>
      <c r="E117" s="387"/>
      <c r="F117" s="387" t="b">
        <f>$B$11&lt;8</f>
        <v>1</v>
      </c>
      <c r="G117" s="387"/>
      <c r="H117" s="387"/>
    </row>
    <row r="118" spans="1:8" s="2" customFormat="1" ht="15" x14ac:dyDescent="0.2">
      <c r="A118" s="496" t="s">
        <v>72</v>
      </c>
      <c r="B118" s="235" t="s">
        <v>73</v>
      </c>
      <c r="C118" s="222" t="s">
        <v>244</v>
      </c>
      <c r="D118" s="546"/>
      <c r="E118" s="387"/>
      <c r="F118" s="387" t="b">
        <f>$F$117</f>
        <v>1</v>
      </c>
      <c r="G118" s="387"/>
      <c r="H118" s="387"/>
    </row>
    <row r="119" spans="1:8" s="2" customFormat="1" x14ac:dyDescent="0.2">
      <c r="A119" s="497" t="s">
        <v>216</v>
      </c>
      <c r="B119" s="224"/>
      <c r="C119" s="552"/>
      <c r="D119" s="546"/>
      <c r="E119" s="387"/>
      <c r="F119" s="387" t="b">
        <f t="shared" ref="F119:F130" si="6">$F$117</f>
        <v>1</v>
      </c>
      <c r="G119" s="387"/>
      <c r="H119" s="387"/>
    </row>
    <row r="120" spans="1:8" s="2" customFormat="1" x14ac:dyDescent="0.2">
      <c r="A120" s="369" t="s">
        <v>286</v>
      </c>
      <c r="B120" s="159"/>
      <c r="C120" s="552"/>
      <c r="D120" s="546"/>
      <c r="E120" s="387"/>
      <c r="F120" s="387" t="b">
        <f t="shared" si="6"/>
        <v>1</v>
      </c>
      <c r="G120" s="387"/>
      <c r="H120" s="387"/>
    </row>
    <row r="121" spans="1:8" s="2" customFormat="1" x14ac:dyDescent="0.2">
      <c r="A121" s="257" t="s">
        <v>287</v>
      </c>
      <c r="B121" s="391"/>
      <c r="C121" s="552"/>
      <c r="D121" s="546"/>
      <c r="E121" s="387"/>
      <c r="F121" s="387" t="b">
        <f t="shared" si="6"/>
        <v>1</v>
      </c>
      <c r="G121" s="387"/>
      <c r="H121" s="387"/>
    </row>
    <row r="122" spans="1:8" s="2" customFormat="1" x14ac:dyDescent="0.2">
      <c r="A122" s="369" t="s">
        <v>288</v>
      </c>
      <c r="B122" s="174"/>
      <c r="C122" s="553"/>
      <c r="D122" s="546"/>
      <c r="E122" s="387"/>
      <c r="F122" s="387" t="b">
        <f t="shared" si="6"/>
        <v>1</v>
      </c>
      <c r="G122" s="387"/>
      <c r="H122" s="387"/>
    </row>
    <row r="123" spans="1:8" s="2" customFormat="1" x14ac:dyDescent="0.2">
      <c r="A123" s="369" t="s">
        <v>289</v>
      </c>
      <c r="B123" s="174"/>
      <c r="C123" s="553"/>
      <c r="D123" s="546"/>
      <c r="E123" s="387"/>
      <c r="F123" s="387" t="b">
        <f t="shared" si="6"/>
        <v>1</v>
      </c>
      <c r="G123" s="387"/>
      <c r="H123" s="387"/>
    </row>
    <row r="124" spans="1:8" s="2" customFormat="1" x14ac:dyDescent="0.2">
      <c r="A124" s="498" t="s">
        <v>226</v>
      </c>
      <c r="B124" s="418"/>
      <c r="C124" s="554" t="s">
        <v>312</v>
      </c>
      <c r="D124" s="546"/>
      <c r="E124" s="387"/>
      <c r="F124" s="387" t="b">
        <f t="shared" si="6"/>
        <v>1</v>
      </c>
      <c r="G124" s="387"/>
      <c r="H124" s="387"/>
    </row>
    <row r="125" spans="1:8" s="2" customFormat="1" x14ac:dyDescent="0.2">
      <c r="A125" s="499" t="s">
        <v>313</v>
      </c>
      <c r="B125" s="391"/>
      <c r="C125" s="555"/>
      <c r="D125" s="546"/>
      <c r="E125" s="387"/>
      <c r="F125" s="387" t="b">
        <f t="shared" si="6"/>
        <v>1</v>
      </c>
      <c r="G125" s="387"/>
      <c r="H125" s="387"/>
    </row>
    <row r="126" spans="1:8" s="2" customFormat="1" x14ac:dyDescent="0.2">
      <c r="A126" s="499" t="s">
        <v>314</v>
      </c>
      <c r="B126" s="391"/>
      <c r="C126" s="555"/>
      <c r="D126" s="546"/>
      <c r="E126" s="387"/>
      <c r="F126" s="387" t="b">
        <f t="shared" si="6"/>
        <v>1</v>
      </c>
      <c r="G126" s="387"/>
      <c r="H126" s="387"/>
    </row>
    <row r="127" spans="1:8" s="2" customFormat="1" x14ac:dyDescent="0.2">
      <c r="A127" s="499" t="s">
        <v>315</v>
      </c>
      <c r="B127" s="391"/>
      <c r="C127" s="555"/>
      <c r="D127" s="546"/>
      <c r="E127" s="387"/>
      <c r="F127" s="387" t="b">
        <f t="shared" si="6"/>
        <v>1</v>
      </c>
      <c r="G127" s="387"/>
      <c r="H127" s="387"/>
    </row>
    <row r="128" spans="1:8" s="2" customFormat="1" x14ac:dyDescent="0.2">
      <c r="A128" s="500" t="s">
        <v>316</v>
      </c>
      <c r="B128" s="421"/>
      <c r="C128" s="556" t="s">
        <v>317</v>
      </c>
      <c r="D128" s="546"/>
      <c r="E128" s="387"/>
      <c r="F128" s="387" t="b">
        <f t="shared" si="6"/>
        <v>1</v>
      </c>
      <c r="G128" s="387"/>
      <c r="H128" s="387"/>
    </row>
    <row r="129" spans="1:8" s="2" customFormat="1" x14ac:dyDescent="0.2">
      <c r="A129" s="500" t="s">
        <v>318</v>
      </c>
      <c r="B129" s="421"/>
      <c r="C129" s="556" t="s">
        <v>319</v>
      </c>
      <c r="D129" s="546"/>
      <c r="E129" s="387"/>
      <c r="F129" s="387" t="b">
        <f t="shared" si="6"/>
        <v>1</v>
      </c>
      <c r="G129" s="387"/>
      <c r="H129" s="387"/>
    </row>
    <row r="130" spans="1:8" s="2" customFormat="1" x14ac:dyDescent="0.2">
      <c r="A130" s="501" t="s">
        <v>320</v>
      </c>
      <c r="B130" s="422"/>
      <c r="C130" s="516" t="s">
        <v>321</v>
      </c>
      <c r="D130" s="546"/>
      <c r="E130" s="387"/>
      <c r="F130" s="387" t="b">
        <f t="shared" si="6"/>
        <v>1</v>
      </c>
      <c r="G130" s="387"/>
      <c r="H130" s="387"/>
    </row>
    <row r="131" spans="1:8" s="2" customFormat="1" ht="15" x14ac:dyDescent="0.2">
      <c r="A131" s="236" t="s">
        <v>329</v>
      </c>
      <c r="B131" s="237"/>
      <c r="C131" s="237"/>
      <c r="D131" s="546"/>
      <c r="E131" s="387"/>
      <c r="F131" s="387" t="b">
        <f>$B$11&lt;9</f>
        <v>1</v>
      </c>
      <c r="G131" s="387"/>
      <c r="H131" s="387"/>
    </row>
    <row r="132" spans="1:8" s="2" customFormat="1" ht="15" x14ac:dyDescent="0.2">
      <c r="A132" s="496" t="s">
        <v>72</v>
      </c>
      <c r="B132" s="235" t="s">
        <v>73</v>
      </c>
      <c r="C132" s="222" t="s">
        <v>244</v>
      </c>
      <c r="D132" s="546"/>
      <c r="E132" s="387"/>
      <c r="F132" s="387" t="b">
        <f>$F$131</f>
        <v>1</v>
      </c>
      <c r="G132" s="387"/>
      <c r="H132" s="387"/>
    </row>
    <row r="133" spans="1:8" s="2" customFormat="1" x14ac:dyDescent="0.2">
      <c r="A133" s="497" t="s">
        <v>216</v>
      </c>
      <c r="B133" s="224"/>
      <c r="C133" s="552"/>
      <c r="D133" s="546"/>
      <c r="E133" s="387"/>
      <c r="F133" s="387" t="b">
        <f t="shared" ref="F133:F144" si="7">$F$131</f>
        <v>1</v>
      </c>
      <c r="G133" s="387"/>
      <c r="H133" s="387"/>
    </row>
    <row r="134" spans="1:8" s="2" customFormat="1" x14ac:dyDescent="0.2">
      <c r="A134" s="369" t="s">
        <v>286</v>
      </c>
      <c r="B134" s="159"/>
      <c r="C134" s="552"/>
      <c r="D134" s="546"/>
      <c r="E134" s="387"/>
      <c r="F134" s="387" t="b">
        <f t="shared" si="7"/>
        <v>1</v>
      </c>
      <c r="G134" s="387"/>
      <c r="H134" s="387"/>
    </row>
    <row r="135" spans="1:8" s="2" customFormat="1" x14ac:dyDescent="0.2">
      <c r="A135" s="257" t="s">
        <v>287</v>
      </c>
      <c r="B135" s="391"/>
      <c r="C135" s="552"/>
      <c r="D135" s="546"/>
      <c r="E135" s="387"/>
      <c r="F135" s="387" t="b">
        <f t="shared" si="7"/>
        <v>1</v>
      </c>
      <c r="G135" s="387"/>
      <c r="H135" s="387"/>
    </row>
    <row r="136" spans="1:8" s="2" customFormat="1" x14ac:dyDescent="0.2">
      <c r="A136" s="369" t="s">
        <v>288</v>
      </c>
      <c r="B136" s="174"/>
      <c r="C136" s="558"/>
      <c r="D136" s="546"/>
      <c r="E136" s="387"/>
      <c r="F136" s="387" t="b">
        <f t="shared" si="7"/>
        <v>1</v>
      </c>
      <c r="G136" s="387"/>
      <c r="H136" s="387"/>
    </row>
    <row r="137" spans="1:8" s="2" customFormat="1" x14ac:dyDescent="0.2">
      <c r="A137" s="369" t="s">
        <v>289</v>
      </c>
      <c r="B137" s="174"/>
      <c r="C137" s="558"/>
      <c r="D137" s="546"/>
      <c r="E137" s="387"/>
      <c r="F137" s="387" t="b">
        <f t="shared" si="7"/>
        <v>1</v>
      </c>
      <c r="G137" s="387"/>
      <c r="H137" s="387"/>
    </row>
    <row r="138" spans="1:8" s="2" customFormat="1" x14ac:dyDescent="0.2">
      <c r="A138" s="498" t="s">
        <v>226</v>
      </c>
      <c r="B138" s="418"/>
      <c r="C138" s="393" t="s">
        <v>312</v>
      </c>
      <c r="D138" s="546"/>
      <c r="E138" s="387"/>
      <c r="F138" s="387" t="b">
        <f t="shared" si="7"/>
        <v>1</v>
      </c>
      <c r="G138" s="387"/>
      <c r="H138" s="387"/>
    </row>
    <row r="139" spans="1:8" s="2" customFormat="1" x14ac:dyDescent="0.2">
      <c r="A139" s="499" t="s">
        <v>313</v>
      </c>
      <c r="B139" s="391"/>
      <c r="C139" s="555"/>
      <c r="D139" s="546"/>
      <c r="E139" s="387"/>
      <c r="F139" s="387" t="b">
        <f t="shared" si="7"/>
        <v>1</v>
      </c>
      <c r="G139" s="387"/>
      <c r="H139" s="387"/>
    </row>
    <row r="140" spans="1:8" s="2" customFormat="1" x14ac:dyDescent="0.2">
      <c r="A140" s="499" t="s">
        <v>314</v>
      </c>
      <c r="B140" s="391"/>
      <c r="C140" s="555"/>
      <c r="D140" s="546"/>
      <c r="E140" s="387"/>
      <c r="F140" s="387" t="b">
        <f t="shared" si="7"/>
        <v>1</v>
      </c>
      <c r="G140" s="387"/>
      <c r="H140" s="387"/>
    </row>
    <row r="141" spans="1:8" s="2" customFormat="1" x14ac:dyDescent="0.2">
      <c r="A141" s="499" t="s">
        <v>315</v>
      </c>
      <c r="B141" s="391"/>
      <c r="C141" s="555"/>
      <c r="D141" s="546"/>
      <c r="E141" s="387"/>
      <c r="F141" s="387" t="b">
        <f t="shared" si="7"/>
        <v>1</v>
      </c>
      <c r="G141" s="387"/>
      <c r="H141" s="387"/>
    </row>
    <row r="142" spans="1:8" s="2" customFormat="1" x14ac:dyDescent="0.2">
      <c r="A142" s="500" t="s">
        <v>316</v>
      </c>
      <c r="B142" s="421"/>
      <c r="C142" s="556" t="s">
        <v>317</v>
      </c>
      <c r="D142" s="546"/>
      <c r="E142" s="387"/>
      <c r="F142" s="387" t="b">
        <f t="shared" si="7"/>
        <v>1</v>
      </c>
      <c r="G142" s="387"/>
      <c r="H142" s="387"/>
    </row>
    <row r="143" spans="1:8" s="2" customFormat="1" x14ac:dyDescent="0.2">
      <c r="A143" s="500" t="s">
        <v>318</v>
      </c>
      <c r="B143" s="421"/>
      <c r="C143" s="556" t="s">
        <v>319</v>
      </c>
      <c r="D143" s="546"/>
      <c r="E143" s="387"/>
      <c r="F143" s="387" t="b">
        <f t="shared" si="7"/>
        <v>1</v>
      </c>
      <c r="G143" s="387"/>
      <c r="H143" s="387"/>
    </row>
    <row r="144" spans="1:8" s="2" customFormat="1" x14ac:dyDescent="0.2">
      <c r="A144" s="501" t="s">
        <v>320</v>
      </c>
      <c r="B144" s="422"/>
      <c r="C144" s="516" t="s">
        <v>321</v>
      </c>
      <c r="D144" s="546"/>
      <c r="E144" s="387"/>
      <c r="F144" s="387" t="b">
        <f t="shared" si="7"/>
        <v>1</v>
      </c>
      <c r="G144" s="387"/>
      <c r="H144" s="387"/>
    </row>
    <row r="145" spans="1:8" s="2" customFormat="1" ht="15" x14ac:dyDescent="0.2">
      <c r="A145" s="236" t="s">
        <v>330</v>
      </c>
      <c r="B145" s="237"/>
      <c r="C145" s="237"/>
      <c r="D145" s="546"/>
      <c r="E145" s="387"/>
      <c r="F145" s="387" t="b">
        <f>$B$11&lt;10</f>
        <v>1</v>
      </c>
      <c r="G145" s="387"/>
      <c r="H145" s="387"/>
    </row>
    <row r="146" spans="1:8" s="2" customFormat="1" ht="15" x14ac:dyDescent="0.2">
      <c r="A146" s="496" t="s">
        <v>72</v>
      </c>
      <c r="B146" s="235" t="s">
        <v>73</v>
      </c>
      <c r="C146" s="222" t="s">
        <v>244</v>
      </c>
      <c r="D146" s="546"/>
      <c r="E146" s="387"/>
      <c r="F146" s="387" t="b">
        <f>$F$145</f>
        <v>1</v>
      </c>
      <c r="G146" s="387"/>
      <c r="H146" s="387"/>
    </row>
    <row r="147" spans="1:8" s="2" customFormat="1" x14ac:dyDescent="0.2">
      <c r="A147" s="497" t="s">
        <v>216</v>
      </c>
      <c r="B147" s="224"/>
      <c r="C147" s="552"/>
      <c r="D147" s="546"/>
      <c r="E147" s="387"/>
      <c r="F147" s="387" t="b">
        <f t="shared" ref="F147:F158" si="8">$F$145</f>
        <v>1</v>
      </c>
      <c r="G147" s="387"/>
      <c r="H147" s="387"/>
    </row>
    <row r="148" spans="1:8" s="2" customFormat="1" x14ac:dyDescent="0.2">
      <c r="A148" s="369" t="s">
        <v>286</v>
      </c>
      <c r="B148" s="159"/>
      <c r="C148" s="552"/>
      <c r="D148" s="546"/>
      <c r="E148" s="387"/>
      <c r="F148" s="387" t="b">
        <f t="shared" si="8"/>
        <v>1</v>
      </c>
      <c r="G148" s="387"/>
      <c r="H148" s="387"/>
    </row>
    <row r="149" spans="1:8" s="2" customFormat="1" x14ac:dyDescent="0.2">
      <c r="A149" s="257" t="s">
        <v>287</v>
      </c>
      <c r="B149" s="391"/>
      <c r="C149" s="552"/>
      <c r="D149" s="546"/>
      <c r="E149" s="387"/>
      <c r="F149" s="387" t="b">
        <f t="shared" si="8"/>
        <v>1</v>
      </c>
      <c r="G149" s="387"/>
      <c r="H149" s="387"/>
    </row>
    <row r="150" spans="1:8" s="2" customFormat="1" x14ac:dyDescent="0.2">
      <c r="A150" s="369" t="s">
        <v>288</v>
      </c>
      <c r="B150" s="174"/>
      <c r="C150" s="558"/>
      <c r="D150" s="546"/>
      <c r="E150" s="387"/>
      <c r="F150" s="387" t="b">
        <f t="shared" si="8"/>
        <v>1</v>
      </c>
      <c r="G150" s="387"/>
      <c r="H150" s="387"/>
    </row>
    <row r="151" spans="1:8" s="2" customFormat="1" x14ac:dyDescent="0.2">
      <c r="A151" s="369" t="s">
        <v>289</v>
      </c>
      <c r="B151" s="174"/>
      <c r="C151" s="558"/>
      <c r="D151" s="546"/>
      <c r="E151" s="387"/>
      <c r="F151" s="387" t="b">
        <f t="shared" si="8"/>
        <v>1</v>
      </c>
      <c r="G151" s="387"/>
      <c r="H151" s="387"/>
    </row>
    <row r="152" spans="1:8" s="2" customFormat="1" x14ac:dyDescent="0.2">
      <c r="A152" s="498" t="s">
        <v>226</v>
      </c>
      <c r="B152" s="418"/>
      <c r="C152" s="393" t="s">
        <v>312</v>
      </c>
      <c r="D152" s="546"/>
      <c r="E152" s="387"/>
      <c r="F152" s="387" t="b">
        <f t="shared" si="8"/>
        <v>1</v>
      </c>
      <c r="G152" s="387"/>
      <c r="H152" s="387"/>
    </row>
    <row r="153" spans="1:8" s="2" customFormat="1" x14ac:dyDescent="0.2">
      <c r="A153" s="499" t="s">
        <v>313</v>
      </c>
      <c r="B153" s="391"/>
      <c r="C153" s="555"/>
      <c r="D153" s="546"/>
      <c r="E153" s="387"/>
      <c r="F153" s="387" t="b">
        <f t="shared" si="8"/>
        <v>1</v>
      </c>
      <c r="G153" s="387"/>
      <c r="H153" s="387"/>
    </row>
    <row r="154" spans="1:8" s="2" customFormat="1" x14ac:dyDescent="0.2">
      <c r="A154" s="499" t="s">
        <v>314</v>
      </c>
      <c r="B154" s="391"/>
      <c r="C154" s="555"/>
      <c r="D154" s="546"/>
      <c r="E154" s="387"/>
      <c r="F154" s="387" t="b">
        <f t="shared" si="8"/>
        <v>1</v>
      </c>
      <c r="G154" s="387"/>
      <c r="H154" s="387"/>
    </row>
    <row r="155" spans="1:8" s="2" customFormat="1" x14ac:dyDescent="0.2">
      <c r="A155" s="499" t="s">
        <v>315</v>
      </c>
      <c r="B155" s="678"/>
      <c r="C155" s="556"/>
      <c r="D155" s="546"/>
      <c r="E155" s="387"/>
      <c r="F155" s="387" t="b">
        <f t="shared" si="8"/>
        <v>1</v>
      </c>
      <c r="G155" s="387"/>
      <c r="H155" s="387"/>
    </row>
    <row r="156" spans="1:8" s="2" customFormat="1" x14ac:dyDescent="0.2">
      <c r="A156" s="500" t="s">
        <v>316</v>
      </c>
      <c r="B156" s="421"/>
      <c r="C156" s="556" t="s">
        <v>317</v>
      </c>
      <c r="D156" s="546"/>
      <c r="E156" s="387"/>
      <c r="F156" s="387" t="b">
        <f t="shared" si="8"/>
        <v>1</v>
      </c>
      <c r="G156" s="387"/>
      <c r="H156" s="387"/>
    </row>
    <row r="157" spans="1:8" s="2" customFormat="1" x14ac:dyDescent="0.2">
      <c r="A157" s="500" t="s">
        <v>318</v>
      </c>
      <c r="B157" s="421"/>
      <c r="C157" s="556" t="s">
        <v>319</v>
      </c>
      <c r="D157" s="546"/>
      <c r="E157" s="387"/>
      <c r="F157" s="387" t="b">
        <f t="shared" si="8"/>
        <v>1</v>
      </c>
      <c r="G157" s="387"/>
      <c r="H157" s="387"/>
    </row>
    <row r="158" spans="1:8" s="2" customFormat="1" x14ac:dyDescent="0.2">
      <c r="A158" s="502" t="s">
        <v>320</v>
      </c>
      <c r="B158" s="503"/>
      <c r="C158" s="516" t="s">
        <v>321</v>
      </c>
      <c r="D158" s="546"/>
      <c r="E158" s="387"/>
      <c r="F158" s="387" t="b">
        <f t="shared" si="8"/>
        <v>1</v>
      </c>
      <c r="G158" s="387"/>
      <c r="H158" s="387"/>
    </row>
    <row r="159" spans="1:8" s="2" customFormat="1" x14ac:dyDescent="0.2">
      <c r="A159" s="97" t="s">
        <v>307</v>
      </c>
      <c r="B159" s="97"/>
      <c r="C159" s="97"/>
      <c r="D159" s="546"/>
      <c r="E159" s="387"/>
      <c r="F159" s="387"/>
      <c r="G159" s="387"/>
      <c r="H159" s="387"/>
    </row>
    <row r="160" spans="1:8" s="2" customFormat="1" ht="15" x14ac:dyDescent="0.2">
      <c r="A160" s="542" t="s">
        <v>1071</v>
      </c>
      <c r="B160" s="543"/>
      <c r="C160" s="543"/>
      <c r="D160" s="656"/>
      <c r="E160" s="387"/>
      <c r="F160" s="387"/>
      <c r="G160" s="387"/>
      <c r="H160" s="387"/>
    </row>
    <row r="161" spans="1:8" s="2" customFormat="1" ht="15.75" thickBot="1" x14ac:dyDescent="0.25">
      <c r="A161" s="663" t="s">
        <v>1053</v>
      </c>
      <c r="B161" s="664" t="s">
        <v>1050</v>
      </c>
      <c r="C161" s="665" t="s">
        <v>1051</v>
      </c>
      <c r="D161" s="662"/>
      <c r="E161" s="387"/>
      <c r="F161" s="387"/>
      <c r="G161" s="387"/>
      <c r="H161" s="387"/>
    </row>
    <row r="162" spans="1:8" s="2" customFormat="1" x14ac:dyDescent="0.2">
      <c r="A162" s="658" t="s">
        <v>316</v>
      </c>
      <c r="B162" s="659">
        <f>SUMIFS($B$21:$B$158,$A$21:$A$158,A162)</f>
        <v>0</v>
      </c>
      <c r="C162" s="647" t="s">
        <v>1036</v>
      </c>
      <c r="D162" s="563"/>
      <c r="E162" s="387"/>
      <c r="F162" s="387" t="b">
        <f>B162&gt;0.02149</f>
        <v>0</v>
      </c>
      <c r="G162" s="387"/>
      <c r="H162" s="387"/>
    </row>
    <row r="163" spans="1:8" s="2" customFormat="1" x14ac:dyDescent="0.2">
      <c r="A163" s="541" t="s">
        <v>318</v>
      </c>
      <c r="B163" s="408">
        <f>SUMIFS($B$21:$B$158,$A$21:$A$158,A163)</f>
        <v>0</v>
      </c>
      <c r="C163" s="540" t="s">
        <v>1037</v>
      </c>
      <c r="D163" s="563"/>
      <c r="E163" s="387"/>
      <c r="F163" s="387" t="b">
        <f>B163&gt;0.43049</f>
        <v>0</v>
      </c>
      <c r="G163" s="387"/>
      <c r="H163" s="387"/>
    </row>
    <row r="164" spans="1:8" s="2" customFormat="1" x14ac:dyDescent="0.2">
      <c r="A164" s="666" t="s">
        <v>320</v>
      </c>
      <c r="B164" s="667">
        <f>SUMIFS($B$21:$B$158,$A$21:$A$158,A164)</f>
        <v>0</v>
      </c>
      <c r="C164" s="340" t="s">
        <v>1038</v>
      </c>
      <c r="D164" s="662"/>
      <c r="E164" s="387"/>
      <c r="F164" s="387" t="b">
        <f>B164&gt;0.09549</f>
        <v>0</v>
      </c>
      <c r="G164" s="387"/>
      <c r="H164" s="387"/>
    </row>
    <row r="165" spans="1:8" s="2" customFormat="1" ht="15.75" thickBot="1" x14ac:dyDescent="0.25">
      <c r="A165" s="663" t="s">
        <v>1053</v>
      </c>
      <c r="B165" s="668" t="s">
        <v>1052</v>
      </c>
      <c r="C165" s="665" t="s">
        <v>1051</v>
      </c>
      <c r="D165" s="662"/>
      <c r="E165" s="387"/>
      <c r="F165" s="387"/>
      <c r="G165" s="387"/>
      <c r="H165" s="387"/>
    </row>
    <row r="166" spans="1:8" s="2" customFormat="1" x14ac:dyDescent="0.2">
      <c r="A166" s="658" t="s">
        <v>316</v>
      </c>
      <c r="B166" s="659">
        <f>MAX(B30,B44,B58,B72,B86,B100,B114,B128,B142,B156)</f>
        <v>0</v>
      </c>
      <c r="C166" s="647" t="s">
        <v>1036</v>
      </c>
      <c r="D166" s="662"/>
      <c r="E166" s="387"/>
      <c r="F166" s="387"/>
      <c r="G166" s="387"/>
      <c r="H166" s="387"/>
    </row>
    <row r="167" spans="1:8" s="2" customFormat="1" x14ac:dyDescent="0.2">
      <c r="A167" s="541" t="s">
        <v>318</v>
      </c>
      <c r="B167" s="408">
        <f t="shared" ref="B167:B168" si="9">MAX(B31,B45,B59,B73,B87,B101,B115,B129,B143,B157)</f>
        <v>0</v>
      </c>
      <c r="C167" s="540" t="s">
        <v>1037</v>
      </c>
      <c r="D167" s="662"/>
      <c r="E167" s="387"/>
      <c r="F167" s="387"/>
      <c r="G167" s="387"/>
      <c r="H167" s="387"/>
    </row>
    <row r="168" spans="1:8" s="2" customFormat="1" ht="15" thickBot="1" x14ac:dyDescent="0.25">
      <c r="A168" s="666" t="s">
        <v>320</v>
      </c>
      <c r="B168" s="667">
        <f t="shared" si="9"/>
        <v>0</v>
      </c>
      <c r="C168" s="340" t="s">
        <v>1038</v>
      </c>
      <c r="D168" s="662"/>
      <c r="E168" s="387"/>
      <c r="F168" s="387"/>
      <c r="G168" s="387"/>
      <c r="H168" s="387"/>
    </row>
    <row r="169" spans="1:8" s="2" customFormat="1" ht="86.25" customHeight="1" x14ac:dyDescent="0.2">
      <c r="A169" s="900" t="str">
        <f>IF(OR(B162&gt;0.021,B163&gt;0.43),Reference!F71,Reference!F72)</f>
        <v>*The lb/hr maximums listed represent the combined maximum for all tanks at the site authorized by a RAP operating at any given time. For example, if one tank is in service, the maximum combined standing emissions is 0.021 lb/hr and the maximum combined filling emissions is 0.430 lb/hr. If two tanks in service at the same time, the maximum combined standing emissions is 0.021 lb/hr and the maximum combined filling emissions is 0.430 lb/hr.</v>
      </c>
      <c r="B169" s="901"/>
      <c r="C169" s="902"/>
      <c r="D169" s="656"/>
      <c r="E169" s="387"/>
      <c r="F169" s="387"/>
      <c r="G169" s="387"/>
      <c r="H169" s="387"/>
    </row>
    <row r="170" spans="1:8" s="2" customFormat="1" ht="70.5" customHeight="1" thickBot="1" x14ac:dyDescent="0.25">
      <c r="A170" s="903" t="str">
        <f>IF(B164&gt;0.095,Reference!F74,Reference!F75)</f>
        <v>**The tpy maximums listed represent the combined maximum for all tanks at the site authorized by a RAP. The tpy maximums listed represent the combined maximum for all tanks at the site authorized by a RAP. For example, if there is one tank, the maximum tpy emission rate is 0.095. If there are two tanks, the combined maximum tpy emission rate is 0.095.</v>
      </c>
      <c r="B170" s="904"/>
      <c r="C170" s="905"/>
      <c r="D170" s="657"/>
      <c r="E170" s="387"/>
      <c r="F170" s="387"/>
      <c r="G170" s="387"/>
      <c r="H170" s="387"/>
    </row>
    <row r="171" spans="1:8" s="2" customFormat="1" ht="8.4499999999999993" customHeight="1" x14ac:dyDescent="0.2">
      <c r="A171" s="360"/>
      <c r="B171" s="361"/>
      <c r="C171" s="361"/>
      <c r="D171" s="361"/>
      <c r="E171" s="387"/>
      <c r="F171" s="387"/>
      <c r="G171" s="387"/>
      <c r="H171" s="387"/>
    </row>
    <row r="172" spans="1:8" x14ac:dyDescent="0.2">
      <c r="A172" s="899" t="str">
        <f>HYPERLINK("#Sheet_PN","End of sheet. Click here to move to the next sheet.")</f>
        <v>End of sheet. Click here to move to the next sheet.</v>
      </c>
      <c r="B172" s="858"/>
      <c r="C172" s="858"/>
      <c r="D172" s="176"/>
    </row>
    <row r="173" spans="1:8" ht="8.4499999999999993" hidden="1" customHeight="1" x14ac:dyDescent="0.2">
      <c r="A173" s="85"/>
      <c r="B173" s="85"/>
      <c r="C173" s="85"/>
      <c r="D173" s="85"/>
    </row>
  </sheetData>
  <sheetProtection algorithmName="SHA-512" hashValue="5/e971N5zoIluA+p8xHfeNOoN69dD1B698ECmSLJr7FxwZfei1mgaNmTdEfJF8fkBIsdFkqWVxwEVqeJkc8jOQ==" saltValue="NXgzroN4zG6CyW6JmHAVNw==" spinCount="100000" sheet="1" objects="1" scenarios="1" formatColumns="0" formatRows="0" autoFilter="0"/>
  <mergeCells count="6">
    <mergeCell ref="A2:C2"/>
    <mergeCell ref="A16:C16"/>
    <mergeCell ref="A1:C1"/>
    <mergeCell ref="A172:C172"/>
    <mergeCell ref="A169:C169"/>
    <mergeCell ref="A170:C170"/>
  </mergeCells>
  <conditionalFormatting sqref="A165">
    <cfRule type="expression" dxfId="39" priority="1">
      <formula>$F165</formula>
    </cfRule>
  </conditionalFormatting>
  <conditionalFormatting sqref="A169:A170">
    <cfRule type="expression" dxfId="38" priority="7">
      <formula>$F$1</formula>
    </cfRule>
  </conditionalFormatting>
  <conditionalFormatting sqref="A7:B10">
    <cfRule type="expression" dxfId="37" priority="8">
      <formula>$B$11=1</formula>
    </cfRule>
  </conditionalFormatting>
  <conditionalFormatting sqref="A5:C5 A33:C158">
    <cfRule type="expression" dxfId="36" priority="19">
      <formula>$F5</formula>
    </cfRule>
  </conditionalFormatting>
  <conditionalFormatting sqref="A161:C161">
    <cfRule type="expression" dxfId="35" priority="6">
      <formula>$F161</formula>
    </cfRule>
  </conditionalFormatting>
  <conditionalFormatting sqref="A1:D18">
    <cfRule type="expression" dxfId="34" priority="9">
      <formula>$F$1</formula>
    </cfRule>
  </conditionalFormatting>
  <conditionalFormatting sqref="A19:D164 A166:C168 A165 C165">
    <cfRule type="expression" dxfId="33" priority="18">
      <formula>$F$1</formula>
    </cfRule>
  </conditionalFormatting>
  <conditionalFormatting sqref="B162">
    <cfRule type="cellIs" dxfId="32" priority="12" operator="greaterThan">
      <formula>0.021</formula>
    </cfRule>
  </conditionalFormatting>
  <conditionalFormatting sqref="B163">
    <cfRule type="cellIs" dxfId="31" priority="11" operator="greaterThan">
      <formula>0.43</formula>
    </cfRule>
  </conditionalFormatting>
  <conditionalFormatting sqref="B164 B166:B168">
    <cfRule type="cellIs" dxfId="30" priority="10" operator="greaterThan">
      <formula>0.095</formula>
    </cfRule>
  </conditionalFormatting>
  <conditionalFormatting sqref="B166">
    <cfRule type="cellIs" dxfId="29" priority="5" operator="greaterThan">
      <formula>0.021</formula>
    </cfRule>
  </conditionalFormatting>
  <conditionalFormatting sqref="B167">
    <cfRule type="cellIs" dxfId="28" priority="4" operator="greaterThan">
      <formula>0.43</formula>
    </cfRule>
  </conditionalFormatting>
  <conditionalFormatting sqref="C165">
    <cfRule type="expression" dxfId="27" priority="3">
      <formula>$F165</formula>
    </cfRule>
  </conditionalFormatting>
  <conditionalFormatting sqref="D165:D170">
    <cfRule type="expression" dxfId="26" priority="2">
      <formula>$F$1</formula>
    </cfRule>
  </conditionalFormatting>
  <dataValidations count="21">
    <dataValidation operator="greaterThanOrEqual" allowBlank="1" showErrorMessage="1" errorTitle="MInimum Value Not Exceeded" error="Please enter a value for this parameter that is higher than the minimum value." promptTitle="Input parameters" prompt="Enter the capacity of the diesel tank in gallons." sqref="C27 C41" xr:uid="{B4FD901F-F088-4DEE-AB2F-7796315B045E}"/>
    <dataValidation operator="greaterThanOrEqual" allowBlank="1" showErrorMessage="1" errorTitle="MInimum Value Not Exceeded" error="Please enter a value for this parameter that is higher than the minimum value." promptTitle="Input parameters" prompt="Enter the fill rate for this tank in gallons per hour." sqref="C28:C29 C42:C43" xr:uid="{E8EF7740-BE51-4BD1-BEF2-EC46A4132E64}"/>
    <dataValidation type="list" allowBlank="1" showErrorMessage="1" promptTitle="UTM Zone" prompt="Enter the UTM Coordinates zone for the EPN &quot;Engine1&quot;. In Texas, this must be 13, 14, or 15." sqref="C135 C107 C93 C79 C65 C51 C149 C23 C121 C37" xr:uid="{AC9DB2DD-A624-437A-B92C-F101C344E7B1}">
      <formula1>"13,14,15"</formula1>
    </dataValidation>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24:C24 B136:C136 B122:C122 B38:C38 B66:C66 B52:C52 B80:C80 B94:C94 B108:C108 B150:C150 B9" xr:uid="{92271D1E-04F4-4C76-AAB9-34D534694396}">
      <formula1>205000</formula1>
      <formula2>795000</formula2>
    </dataValidation>
    <dataValidation type="decimal" allowBlank="1" showErrorMessage="1" errorTitle="North (Meters)" error="Enter a value between 2854000 and 4059000 meters." promptTitle="UTM North" prompt="Enter the distance north of the zone datum for this EPN, in meters. This is a six-digit number between 2854000 and 4059000." sqref="B25:C25 B137:C137 B123:C123 B39:C39 B53:C53 B67:C67 B81:C81 B95:C95 B109:C109 B151:C151 B10" xr:uid="{6E0C9B74-4CC7-4CAF-8BF6-B49F1A3E26C3}">
      <formula1>2854000</formula1>
      <formula2>4059000</formula2>
    </dataValidation>
    <dataValidation allowBlank="1" showErrorMessage="1" promptTitle="Source Name for Tank 1" prompt="Input the source name for the tank. " sqref="B22 B120 B134 B36 B50 B64 B78 B92 B106 B148 B7" xr:uid="{96905127-7A13-4A3B-A502-CDCAEC1F4FDB}"/>
    <dataValidation type="list" allowBlank="1" showErrorMessage="1" promptTitle="UTM Zone for Tank 1" prompt="Enter the UTM Coordinates zone for the Tank. In Texas, this must be 13, 14, or 15." sqref="B23 B121 B135 B37 B51 B65 B79 B93 B107 B149 B8" xr:uid="{982DAFE5-573E-4BB2-98DD-78E6A723BE36}">
      <formula1>"13,14,15"</formula1>
    </dataValidation>
    <dataValidation operator="greaterThanOrEqual" allowBlank="1" showErrorMessage="1" errorTitle="MInimum Value Not Exceeded" error="Please enter a value for this parameter that is higher than the minimum value." promptTitle="Liquid Capacity for Tank 1" prompt="Enter the capacity of the diesel tank in gallons." sqref="B27 B125 B139 B41 B55 B69 B83 B97 B111 B153" xr:uid="{C40C9FDC-EB1B-4325-B042-FA332EAA26C3}"/>
    <dataValidation operator="greaterThanOrEqual" allowBlank="1" showErrorMessage="1" errorTitle="MInimum Value Not Exceeded" error="Please enter a value for this parameter that is higher than the minimum value." promptTitle="Max Fill Rate for Tank 1" prompt="Enter the max fill rate for this tank in gallons per hour." sqref="B28 B112 B126 B140 B42 B56 B70 B84 B98 B154" xr:uid="{D94F8566-E3C9-4706-8EEE-3EB94624E970}"/>
    <dataValidation operator="greaterThanOrEqual" allowBlank="1" showErrorMessage="1" errorTitle="MInimum Value Not Exceeded" error="Please enter a value for this parameter that is higher than the minimum value." promptTitle="Annual Fill rate for Tank 1" prompt="Enter the annual fill rate for this tank in gallons per year." sqref="B29 B113 B127 B141 B43 B57 B71 B85 B99 B155" xr:uid="{B044700C-4A97-48E1-8BF3-6FEA47F1416D}"/>
    <dataValidation type="decimal" operator="lessThanOrEqual" allowBlank="1" showErrorMessage="1" errorTitle="MInimum Value Not Exceeded" error="Please enter a value for this parameter that is higher than the minimum value." promptTitle="Standing Losses for Tank 1" prompt="Enter the standing losses emission rate for this tank in pounds per hour from the tank calculation output files." sqref="B156 B30 B44 B58 B72 B86 B142 B114 B128 B100" xr:uid="{9EDC5BA1-3C4C-451E-8C8A-EBDFFBA997A6}">
      <formula1>0.021</formula1>
    </dataValidation>
    <dataValidation type="decimal" operator="lessThanOrEqual" allowBlank="1" showErrorMessage="1" errorTitle="MInimum Value Not Exceeded" error="Please enter a value for this parameter that is higher than the minimum value." promptTitle="Fill Loss for Tank 1" prompt="Enter the filling loss emission rate for this tank in pounds per hour from the tank calculation output files." sqref="B157 B31 B45 B59 B73 B87 B143 B115 B129 B101" xr:uid="{68B7CDBF-0B1A-4F18-BB7B-447788E32983}">
      <formula1>0.43</formula1>
    </dataValidation>
    <dataValidation type="decimal" operator="lessThanOrEqual" allowBlank="1" showErrorMessage="1" promptTitle="Total Losses for Tank 1" prompt="Enter the total emission rates for VOCs. Note that the maximum for each tank, and the total for this RAP is 0.15 tons per year." sqref="B88 B130 B144 B158 B32 B60 B74 B46 B116 B102" xr:uid="{BA28D099-AE06-4C74-82FF-455EFBC8E9A1}">
      <formula1>0.095</formula1>
    </dataValidation>
    <dataValidation type="decimal" operator="greaterThanOrEqual" allowBlank="1" showErrorMessage="1" errorTitle="MInimum Value Not Exceeded" error="Please enter a value for this parameter that is higher than the minimum value." promptTitle="Release Height for Tank 1" prompt="Enter the release height of the diesel tank in feet. Note that the minimum is 2 feet." sqref="B26 B124 B138 B40 B54 B68 B82 B96 B110 B152" xr:uid="{0D2DD930-2F82-461C-9E41-747D7C988A76}">
      <formula1>4</formula1>
    </dataValidation>
    <dataValidation operator="greaterThanOrEqual" allowBlank="1" showErrorMessage="1" errorTitle="MInimum Value Not Exceeded" error="Please enter a value for this parameter that is higher than the minimum value." promptTitle="Standing Losses for Tank 10" prompt="Enter the standing losses emission rate for this tank in pounds per hour from the tank calculation output files." sqref="B162 B166" xr:uid="{981F2D78-6443-4244-A876-05E6660CEC55}"/>
    <dataValidation operator="greaterThanOrEqual" allowBlank="1" showErrorMessage="1" errorTitle="MInimum Value Not Exceeded" error="Please enter a value for this parameter that is higher than the minimum value." promptTitle="Fill Loss for Tank 10" prompt="Enter the filling loss emission rate for this tank in pounds per hour from the tank calculation output files." sqref="B163 B167" xr:uid="{E1301E6C-A4A9-4C5A-BF42-74D6942D7064}"/>
    <dataValidation type="decimal" operator="lessThanOrEqual" allowBlank="1" showErrorMessage="1" promptTitle="Total Losses for Tank 10" prompt="Enter the total emission rates for VOCs. Note that the maximum for each tank, and the total for this RAP is 0.15 tons per year." sqref="B164 B168" xr:uid="{8C218A97-A8DD-4F6E-B368-DC2CFC57BEAF}">
      <formula1>0.095</formula1>
    </dataValidation>
    <dataValidation type="textLength" showErrorMessage="1" promptTitle="FIN" prompt="Input the Facility Identification Number for the engine.  Limited to 10 alphanumeric characters." sqref="B21 B35 B49 B63 B77 B91 B105 B119 B133 B147" xr:uid="{E3EB8D50-90AC-475E-9E34-71BB04CA248A}">
      <formula1>0</formula1>
      <formula2>10</formula2>
    </dataValidation>
    <dataValidation type="textLength" allowBlank="1" showErrorMessage="1" promptTitle="EPN" prompt="Input the Emission Point Number for the engine cap.  Limited to 10 alphanumeric characters." sqref="B6" xr:uid="{0A16B17A-7B71-4A2E-B847-E950169B0769}">
      <formula1>0</formula1>
      <formula2>10</formula2>
    </dataValidation>
    <dataValidation allowBlank="1" showErrorMessage="1" prompt="Input how many diesel tanks that are included in this project." sqref="B5:B10 B16:B17" xr:uid="{8DF61A24-5B66-4E2C-B721-42B06B217540}"/>
    <dataValidation allowBlank="1" showErrorMessage="1" prompt="This cell intentionally left blank for internal comments. All internal comments must be submitted prior to application submittal." sqref="D3:D170" xr:uid="{06A4073C-99FC-48B9-AA55-E2701A68BC92}"/>
  </dataValidations>
  <printOptions horizontalCentered="1"/>
  <pageMargins left="0.25" right="0.25" top="0.57395833333333302" bottom="0.61354166666666698" header="0.3" footer="0.3"/>
  <pageSetup scale="73" fitToHeight="0" orientation="portrait" r:id="rId1"/>
  <headerFooter>
    <oddHeader>&amp;C&amp;"Arial,Regular"Engine Power Generation RAP Application</oddHeader>
    <oddFooter>&amp;L&amp;"Arial,Regular"Version: 1.0&amp;C&amp;"Arial,Regular"Sheet: &amp;A&amp;R&amp;"Arial,Regular"Page &amp;P</oddFooter>
  </headerFooter>
  <rowBreaks count="2" manualBreakCount="2">
    <brk id="60" max="4" man="1"/>
    <brk id="130" max="4" man="1"/>
  </rowBreaks>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F78D3-2313-4E9B-9BFC-244DB67915D2}">
  <sheetPr codeName="Sheet26">
    <tabColor rgb="FFFFDCDC"/>
  </sheetPr>
  <dimension ref="A1:O84"/>
  <sheetViews>
    <sheetView showGridLines="0" zoomScaleNormal="100" workbookViewId="0">
      <selection sqref="A1:D1"/>
    </sheetView>
  </sheetViews>
  <sheetFormatPr defaultColWidth="0" defaultRowHeight="12.75" zeroHeight="1" x14ac:dyDescent="0.2"/>
  <cols>
    <col min="1" max="1" width="61.25" style="7" customWidth="1"/>
    <col min="2" max="4" width="18.375" style="7" customWidth="1"/>
    <col min="5" max="5" width="40.625" style="5" customWidth="1"/>
    <col min="6" max="6" width="2.625" style="5" customWidth="1"/>
    <col min="7" max="16384" width="9" style="5" hidden="1"/>
  </cols>
  <sheetData>
    <row r="1" spans="1:9" ht="21.75" customHeight="1" thickBot="1" x14ac:dyDescent="0.25">
      <c r="A1" s="931" t="s">
        <v>703</v>
      </c>
      <c r="B1" s="862"/>
      <c r="C1" s="862"/>
      <c r="D1" s="863"/>
      <c r="E1" s="141" t="s">
        <v>60</v>
      </c>
      <c r="G1" s="5" t="s">
        <v>61</v>
      </c>
      <c r="H1" s="5" t="s">
        <v>62</v>
      </c>
      <c r="I1" s="5" t="s">
        <v>704</v>
      </c>
    </row>
    <row r="2" spans="1:9" ht="140.1" customHeight="1" x14ac:dyDescent="0.2">
      <c r="A2" s="935" t="s">
        <v>1054</v>
      </c>
      <c r="B2" s="936"/>
      <c r="C2" s="936"/>
      <c r="D2" s="937"/>
      <c r="E2" s="132" t="s">
        <v>63</v>
      </c>
    </row>
    <row r="3" spans="1:9" ht="25.5" customHeight="1" x14ac:dyDescent="0.2">
      <c r="A3" s="938" t="s">
        <v>705</v>
      </c>
      <c r="B3" s="859"/>
      <c r="C3" s="859"/>
      <c r="D3" s="860"/>
      <c r="E3" s="126"/>
    </row>
    <row r="4" spans="1:9" ht="60" customHeight="1" thickBot="1" x14ac:dyDescent="0.25">
      <c r="A4" s="939" t="s">
        <v>706</v>
      </c>
      <c r="B4" s="844"/>
      <c r="C4" s="844"/>
      <c r="D4" s="879"/>
      <c r="E4" s="127"/>
    </row>
    <row r="5" spans="1:9" s="12" customFormat="1" ht="15" thickBot="1" x14ac:dyDescent="0.25">
      <c r="A5" s="423"/>
      <c r="B5" s="424"/>
      <c r="C5" s="424"/>
      <c r="D5" s="424"/>
      <c r="E5" s="142"/>
      <c r="F5" s="49"/>
    </row>
    <row r="6" spans="1:9" ht="17.100000000000001" customHeight="1" x14ac:dyDescent="0.2">
      <c r="A6" s="429" t="s">
        <v>707</v>
      </c>
      <c r="B6" s="430"/>
      <c r="C6" s="430"/>
      <c r="D6" s="431"/>
      <c r="E6" s="210"/>
    </row>
    <row r="7" spans="1:9" ht="15" customHeight="1" x14ac:dyDescent="0.2">
      <c r="A7" s="425" t="s">
        <v>708</v>
      </c>
      <c r="B7" s="426"/>
      <c r="C7" s="426"/>
      <c r="D7" s="427"/>
      <c r="E7" s="210"/>
    </row>
    <row r="8" spans="1:9" ht="15" customHeight="1" thickBot="1" x14ac:dyDescent="0.25">
      <c r="A8" s="940" t="s">
        <v>120</v>
      </c>
      <c r="B8" s="912"/>
      <c r="C8" s="912"/>
      <c r="D8" s="428" t="str">
        <f>IF(ISBLANK('PI-1-PowerEngine'!B77),"",'PI-1-PowerEngine'!B77)</f>
        <v>Yes</v>
      </c>
      <c r="E8" s="210"/>
    </row>
    <row r="9" spans="1:9" ht="15" customHeight="1" thickBot="1" x14ac:dyDescent="0.25">
      <c r="A9" s="922" t="s">
        <v>1063</v>
      </c>
      <c r="B9" s="923"/>
      <c r="C9" s="924"/>
      <c r="D9" s="669" t="str">
        <f>IF(D8="Yes","Yes","No")</f>
        <v>Yes</v>
      </c>
      <c r="E9" s="210"/>
      <c r="I9" s="5" t="b">
        <f>$D$9="YES"</f>
        <v>1</v>
      </c>
    </row>
    <row r="10" spans="1:9" ht="15" customHeight="1" thickBot="1" x14ac:dyDescent="0.25">
      <c r="A10" s="432"/>
      <c r="B10" s="433"/>
      <c r="C10" s="433"/>
      <c r="D10" s="433"/>
      <c r="E10" s="120"/>
    </row>
    <row r="11" spans="1:9" ht="17.100000000000001" customHeight="1" thickBot="1" x14ac:dyDescent="0.25">
      <c r="A11" s="439" t="s">
        <v>709</v>
      </c>
      <c r="B11" s="430"/>
      <c r="C11" s="430"/>
      <c r="D11" s="431"/>
      <c r="E11" s="210"/>
    </row>
    <row r="12" spans="1:9" ht="15" customHeight="1" x14ac:dyDescent="0.2">
      <c r="A12" s="425" t="s">
        <v>710</v>
      </c>
      <c r="B12" s="426"/>
      <c r="C12" s="426"/>
      <c r="D12" s="427"/>
      <c r="E12" s="210"/>
    </row>
    <row r="13" spans="1:9" ht="45" customHeight="1" x14ac:dyDescent="0.2">
      <c r="A13" s="911" t="s">
        <v>711</v>
      </c>
      <c r="B13" s="912"/>
      <c r="C13" s="912"/>
      <c r="D13" s="913"/>
      <c r="E13" s="210"/>
    </row>
    <row r="14" spans="1:9" ht="15" x14ac:dyDescent="0.2">
      <c r="A14" s="434" t="s">
        <v>72</v>
      </c>
      <c r="B14" s="239" t="s">
        <v>73</v>
      </c>
      <c r="C14" s="238"/>
      <c r="D14" s="435"/>
      <c r="E14" s="210"/>
    </row>
    <row r="15" spans="1:9" ht="15" customHeight="1" x14ac:dyDescent="0.2">
      <c r="A15" s="436" t="s">
        <v>74</v>
      </c>
      <c r="B15" s="230"/>
      <c r="C15" s="238"/>
      <c r="D15" s="435"/>
      <c r="E15" s="210"/>
    </row>
    <row r="16" spans="1:9" ht="15" customHeight="1" x14ac:dyDescent="0.2">
      <c r="A16" s="437" t="s">
        <v>75</v>
      </c>
      <c r="B16" s="230"/>
      <c r="C16" s="238"/>
      <c r="D16" s="435"/>
      <c r="E16" s="210"/>
    </row>
    <row r="17" spans="1:5" ht="15" customHeight="1" x14ac:dyDescent="0.2">
      <c r="A17" s="436" t="s">
        <v>76</v>
      </c>
      <c r="B17" s="230"/>
      <c r="C17" s="238"/>
      <c r="D17" s="435"/>
      <c r="E17" s="210"/>
    </row>
    <row r="18" spans="1:5" ht="15" customHeight="1" x14ac:dyDescent="0.2">
      <c r="A18" s="437" t="s">
        <v>77</v>
      </c>
      <c r="B18" s="230"/>
      <c r="C18" s="238"/>
      <c r="D18" s="435"/>
      <c r="E18" s="210"/>
    </row>
    <row r="19" spans="1:5" ht="15" customHeight="1" x14ac:dyDescent="0.2">
      <c r="A19" s="437" t="s">
        <v>712</v>
      </c>
      <c r="B19" s="230"/>
      <c r="C19" s="238"/>
      <c r="D19" s="435"/>
      <c r="E19" s="210"/>
    </row>
    <row r="20" spans="1:5" ht="15" customHeight="1" x14ac:dyDescent="0.2">
      <c r="A20" s="437" t="s">
        <v>78</v>
      </c>
      <c r="B20" s="230"/>
      <c r="C20" s="238"/>
      <c r="D20" s="435"/>
      <c r="E20" s="210"/>
    </row>
    <row r="21" spans="1:5" ht="15" customHeight="1" x14ac:dyDescent="0.2">
      <c r="A21" s="437" t="s">
        <v>79</v>
      </c>
      <c r="B21" s="230"/>
      <c r="C21" s="238"/>
      <c r="D21" s="435"/>
      <c r="E21" s="210"/>
    </row>
    <row r="22" spans="1:5" ht="15" customHeight="1" x14ac:dyDescent="0.2">
      <c r="A22" s="437" t="s">
        <v>80</v>
      </c>
      <c r="B22" s="230"/>
      <c r="C22" s="238"/>
      <c r="D22" s="435"/>
      <c r="E22" s="210"/>
    </row>
    <row r="23" spans="1:5" ht="15" customHeight="1" x14ac:dyDescent="0.2">
      <c r="A23" s="436" t="s">
        <v>81</v>
      </c>
      <c r="B23" s="230"/>
      <c r="C23" s="238"/>
      <c r="D23" s="435"/>
      <c r="E23" s="210"/>
    </row>
    <row r="24" spans="1:5" ht="15" customHeight="1" x14ac:dyDescent="0.2">
      <c r="A24" s="436" t="s">
        <v>82</v>
      </c>
      <c r="B24" s="230"/>
      <c r="C24" s="238"/>
      <c r="D24" s="435"/>
      <c r="E24" s="210"/>
    </row>
    <row r="25" spans="1:5" ht="15" customHeight="1" x14ac:dyDescent="0.2">
      <c r="A25" s="437" t="s">
        <v>83</v>
      </c>
      <c r="B25" s="230"/>
      <c r="C25" s="238"/>
      <c r="D25" s="435"/>
      <c r="E25" s="210"/>
    </row>
    <row r="26" spans="1:5" ht="15" customHeight="1" x14ac:dyDescent="0.2">
      <c r="A26" s="437" t="s">
        <v>84</v>
      </c>
      <c r="B26" s="230"/>
      <c r="C26" s="238"/>
      <c r="D26" s="435"/>
      <c r="E26" s="210"/>
    </row>
    <row r="27" spans="1:5" ht="15" customHeight="1" x14ac:dyDescent="0.2">
      <c r="A27" s="438" t="s">
        <v>85</v>
      </c>
      <c r="B27" s="110"/>
      <c r="C27" s="443"/>
      <c r="D27" s="444"/>
      <c r="E27" s="210"/>
    </row>
    <row r="28" spans="1:5" ht="30" customHeight="1" x14ac:dyDescent="0.2">
      <c r="A28" s="914" t="s">
        <v>713</v>
      </c>
      <c r="B28" s="915"/>
      <c r="C28" s="915"/>
      <c r="D28" s="916"/>
      <c r="E28" s="210"/>
    </row>
    <row r="29" spans="1:5" ht="15" x14ac:dyDescent="0.2">
      <c r="A29" s="434" t="s">
        <v>72</v>
      </c>
      <c r="B29" s="239" t="s">
        <v>73</v>
      </c>
      <c r="C29" s="240"/>
      <c r="D29" s="446"/>
      <c r="E29" s="210"/>
    </row>
    <row r="30" spans="1:5" ht="15" customHeight="1" x14ac:dyDescent="0.2">
      <c r="A30" s="436" t="s">
        <v>74</v>
      </c>
      <c r="B30" s="230"/>
      <c r="C30" s="238"/>
      <c r="D30" s="435"/>
      <c r="E30" s="210"/>
    </row>
    <row r="31" spans="1:5" ht="15" customHeight="1" x14ac:dyDescent="0.2">
      <c r="A31" s="437" t="s">
        <v>75</v>
      </c>
      <c r="B31" s="230"/>
      <c r="C31" s="238"/>
      <c r="D31" s="435"/>
      <c r="E31" s="210"/>
    </row>
    <row r="32" spans="1:5" ht="15" customHeight="1" x14ac:dyDescent="0.2">
      <c r="A32" s="436" t="s">
        <v>76</v>
      </c>
      <c r="B32" s="230"/>
      <c r="C32" s="238"/>
      <c r="D32" s="435"/>
      <c r="E32" s="210"/>
    </row>
    <row r="33" spans="1:5" ht="15" customHeight="1" x14ac:dyDescent="0.2">
      <c r="A33" s="437" t="s">
        <v>77</v>
      </c>
      <c r="B33" s="230"/>
      <c r="C33" s="238"/>
      <c r="D33" s="435"/>
      <c r="E33" s="210"/>
    </row>
    <row r="34" spans="1:5" ht="15" customHeight="1" x14ac:dyDescent="0.2">
      <c r="A34" s="437" t="s">
        <v>712</v>
      </c>
      <c r="B34" s="230"/>
      <c r="C34" s="238"/>
      <c r="D34" s="435"/>
      <c r="E34" s="210"/>
    </row>
    <row r="35" spans="1:5" ht="15" customHeight="1" x14ac:dyDescent="0.2">
      <c r="A35" s="437" t="s">
        <v>78</v>
      </c>
      <c r="B35" s="230"/>
      <c r="C35" s="238"/>
      <c r="D35" s="435"/>
      <c r="E35" s="210"/>
    </row>
    <row r="36" spans="1:5" ht="15" customHeight="1" x14ac:dyDescent="0.2">
      <c r="A36" s="437" t="s">
        <v>79</v>
      </c>
      <c r="B36" s="230"/>
      <c r="C36" s="238"/>
      <c r="D36" s="435"/>
      <c r="E36" s="210"/>
    </row>
    <row r="37" spans="1:5" ht="15" customHeight="1" x14ac:dyDescent="0.2">
      <c r="A37" s="437" t="s">
        <v>80</v>
      </c>
      <c r="B37" s="230"/>
      <c r="C37" s="238"/>
      <c r="D37" s="435"/>
      <c r="E37" s="210"/>
    </row>
    <row r="38" spans="1:5" ht="15" customHeight="1" x14ac:dyDescent="0.2">
      <c r="A38" s="436" t="s">
        <v>81</v>
      </c>
      <c r="B38" s="230"/>
      <c r="C38" s="238"/>
      <c r="D38" s="435"/>
      <c r="E38" s="210"/>
    </row>
    <row r="39" spans="1:5" ht="15" customHeight="1" x14ac:dyDescent="0.2">
      <c r="A39" s="436" t="s">
        <v>82</v>
      </c>
      <c r="B39" s="230"/>
      <c r="C39" s="238"/>
      <c r="D39" s="435"/>
      <c r="E39" s="210"/>
    </row>
    <row r="40" spans="1:5" ht="15" customHeight="1" x14ac:dyDescent="0.2">
      <c r="A40" s="437" t="s">
        <v>83</v>
      </c>
      <c r="B40" s="230"/>
      <c r="C40" s="238"/>
      <c r="D40" s="435"/>
      <c r="E40" s="210"/>
    </row>
    <row r="41" spans="1:5" ht="15" customHeight="1" x14ac:dyDescent="0.2">
      <c r="A41" s="437" t="s">
        <v>84</v>
      </c>
      <c r="B41" s="230"/>
      <c r="C41" s="238"/>
      <c r="D41" s="435"/>
      <c r="E41" s="210"/>
    </row>
    <row r="42" spans="1:5" ht="15" customHeight="1" x14ac:dyDescent="0.2">
      <c r="A42" s="438" t="s">
        <v>85</v>
      </c>
      <c r="B42" s="110"/>
      <c r="C42" s="443"/>
      <c r="D42" s="444"/>
      <c r="E42" s="210"/>
    </row>
    <row r="43" spans="1:5" ht="165.75" customHeight="1" x14ac:dyDescent="0.2">
      <c r="A43" s="910" t="s">
        <v>714</v>
      </c>
      <c r="B43" s="908"/>
      <c r="C43" s="908"/>
      <c r="D43" s="909"/>
      <c r="E43" s="210"/>
    </row>
    <row r="44" spans="1:5" ht="15" x14ac:dyDescent="0.2">
      <c r="A44" s="434" t="s">
        <v>72</v>
      </c>
      <c r="B44" s="239" t="s">
        <v>73</v>
      </c>
      <c r="C44" s="238"/>
      <c r="D44" s="435"/>
      <c r="E44" s="210"/>
    </row>
    <row r="45" spans="1:5" ht="15" customHeight="1" x14ac:dyDescent="0.2">
      <c r="A45" s="437" t="s">
        <v>715</v>
      </c>
      <c r="B45" s="230"/>
      <c r="C45" s="238"/>
      <c r="D45" s="435"/>
      <c r="E45" s="210"/>
    </row>
    <row r="46" spans="1:5" ht="15" customHeight="1" x14ac:dyDescent="0.2">
      <c r="A46" s="437" t="s">
        <v>716</v>
      </c>
      <c r="B46" s="230"/>
      <c r="C46" s="238"/>
      <c r="D46" s="435"/>
      <c r="E46" s="210"/>
    </row>
    <row r="47" spans="1:5" ht="15" customHeight="1" x14ac:dyDescent="0.2">
      <c r="A47" s="437" t="s">
        <v>79</v>
      </c>
      <c r="B47" s="230"/>
      <c r="C47" s="238"/>
      <c r="D47" s="435"/>
      <c r="E47" s="210"/>
    </row>
    <row r="48" spans="1:5" ht="15" customHeight="1" x14ac:dyDescent="0.2">
      <c r="A48" s="438" t="s">
        <v>80</v>
      </c>
      <c r="B48" s="110"/>
      <c r="C48" s="443"/>
      <c r="D48" s="444"/>
      <c r="E48" s="210"/>
    </row>
    <row r="49" spans="1:15" ht="15" customHeight="1" x14ac:dyDescent="0.2">
      <c r="A49" s="451" t="s">
        <v>82</v>
      </c>
      <c r="B49" s="449"/>
      <c r="C49" s="450"/>
      <c r="D49" s="452"/>
      <c r="E49" s="210"/>
    </row>
    <row r="50" spans="1:15" ht="15" customHeight="1" x14ac:dyDescent="0.2">
      <c r="A50" s="437" t="s">
        <v>717</v>
      </c>
      <c r="B50" s="230"/>
      <c r="C50" s="238"/>
      <c r="D50" s="435"/>
      <c r="E50" s="210"/>
    </row>
    <row r="51" spans="1:15" ht="30" customHeight="1" x14ac:dyDescent="0.2">
      <c r="A51" s="445" t="s">
        <v>718</v>
      </c>
      <c r="B51" s="116"/>
      <c r="C51" s="238"/>
      <c r="D51" s="435"/>
      <c r="E51" s="210"/>
    </row>
    <row r="52" spans="1:15" ht="30" customHeight="1" x14ac:dyDescent="0.2">
      <c r="A52" s="448" t="s">
        <v>719</v>
      </c>
      <c r="B52" s="215"/>
      <c r="C52" s="443"/>
      <c r="D52" s="444"/>
      <c r="E52" s="210"/>
    </row>
    <row r="53" spans="1:15" ht="87.75" customHeight="1" x14ac:dyDescent="0.2">
      <c r="A53" s="907" t="s">
        <v>720</v>
      </c>
      <c r="B53" s="908"/>
      <c r="C53" s="908"/>
      <c r="D53" s="909"/>
      <c r="E53" s="210"/>
    </row>
    <row r="54" spans="1:15" ht="15" x14ac:dyDescent="0.2">
      <c r="A54" s="434" t="s">
        <v>72</v>
      </c>
      <c r="B54" s="239" t="s">
        <v>73</v>
      </c>
      <c r="C54" s="240"/>
      <c r="D54" s="446"/>
      <c r="E54" s="210"/>
    </row>
    <row r="55" spans="1:15" ht="28.5" x14ac:dyDescent="0.2">
      <c r="A55" s="436" t="s">
        <v>721</v>
      </c>
      <c r="B55" s="111"/>
      <c r="C55" s="238"/>
      <c r="D55" s="435"/>
      <c r="E55" s="210"/>
    </row>
    <row r="56" spans="1:15" ht="45" customHeight="1" x14ac:dyDescent="0.2">
      <c r="A56" s="436" t="s">
        <v>722</v>
      </c>
      <c r="B56" s="111"/>
      <c r="C56" s="238"/>
      <c r="D56" s="435"/>
      <c r="E56" s="210"/>
    </row>
    <row r="57" spans="1:15" ht="30" customHeight="1" x14ac:dyDescent="0.2">
      <c r="A57" s="436" t="s">
        <v>723</v>
      </c>
      <c r="B57" s="230"/>
      <c r="C57" s="238"/>
      <c r="D57" s="435"/>
      <c r="E57" s="210"/>
      <c r="G57" s="5" t="b">
        <f>COUNTIF($B$55:$D$56,"NO")=2</f>
        <v>0</v>
      </c>
    </row>
    <row r="58" spans="1:15" ht="15" customHeight="1" x14ac:dyDescent="0.2">
      <c r="A58" s="436" t="s">
        <v>724</v>
      </c>
      <c r="B58" s="230"/>
      <c r="C58" s="238"/>
      <c r="D58" s="435"/>
      <c r="E58" s="210"/>
    </row>
    <row r="59" spans="1:15" ht="15" customHeight="1" x14ac:dyDescent="0.2">
      <c r="A59" s="436" t="s">
        <v>724</v>
      </c>
      <c r="B59" s="230"/>
      <c r="C59" s="238"/>
      <c r="D59" s="435"/>
      <c r="E59" s="210"/>
    </row>
    <row r="60" spans="1:15" ht="15" customHeight="1" x14ac:dyDescent="0.2">
      <c r="A60" s="447" t="s">
        <v>724</v>
      </c>
      <c r="B60" s="440"/>
      <c r="C60" s="441"/>
      <c r="D60" s="442"/>
      <c r="E60" s="210"/>
    </row>
    <row r="61" spans="1:15" ht="15" customHeight="1" thickBot="1" x14ac:dyDescent="0.25">
      <c r="A61"/>
      <c r="B61"/>
      <c r="C61"/>
      <c r="D61"/>
      <c r="E61" s="120"/>
    </row>
    <row r="62" spans="1:15" ht="17.100000000000001" customHeight="1" thickBot="1" x14ac:dyDescent="0.25">
      <c r="A62" s="483" t="s">
        <v>725</v>
      </c>
      <c r="B62" s="482"/>
      <c r="C62" s="482"/>
      <c r="D62" s="243"/>
      <c r="E62" s="120"/>
      <c r="J62" s="7"/>
      <c r="K62" s="7"/>
      <c r="L62" s="7"/>
      <c r="M62" s="7"/>
      <c r="N62" s="7"/>
      <c r="O62" s="7"/>
    </row>
    <row r="63" spans="1:15" ht="49.5" customHeight="1" x14ac:dyDescent="0.2">
      <c r="A63" s="932" t="s">
        <v>726</v>
      </c>
      <c r="B63" s="933"/>
      <c r="C63" s="933"/>
      <c r="D63" s="934"/>
      <c r="E63" s="120"/>
    </row>
    <row r="64" spans="1:15" ht="15" x14ac:dyDescent="0.2">
      <c r="A64" s="493" t="s">
        <v>72</v>
      </c>
      <c r="B64" s="239" t="s">
        <v>73</v>
      </c>
      <c r="C64" s="238"/>
      <c r="D64" s="232"/>
      <c r="E64" s="120"/>
    </row>
    <row r="65" spans="1:10" ht="42.75" customHeight="1" x14ac:dyDescent="0.2">
      <c r="A65" s="371" t="s">
        <v>727</v>
      </c>
      <c r="B65" s="111"/>
      <c r="C65" s="238"/>
      <c r="D65" s="232"/>
      <c r="E65" s="120"/>
    </row>
    <row r="66" spans="1:10" ht="30" customHeight="1" x14ac:dyDescent="0.2">
      <c r="A66" s="371" t="s">
        <v>728</v>
      </c>
      <c r="B66" s="111"/>
      <c r="C66" s="238"/>
      <c r="D66" s="232"/>
      <c r="E66" s="120"/>
      <c r="G66" s="5" t="b">
        <f>$B$65="NO"</f>
        <v>0</v>
      </c>
    </row>
    <row r="67" spans="1:10" ht="30" customHeight="1" x14ac:dyDescent="0.2">
      <c r="A67" s="371" t="s">
        <v>729</v>
      </c>
      <c r="B67" s="230"/>
      <c r="C67" s="238"/>
      <c r="D67" s="232"/>
      <c r="E67" s="120"/>
      <c r="G67" s="5" t="b">
        <f>OR($G$66,$B$66="YES")</f>
        <v>0</v>
      </c>
    </row>
    <row r="68" spans="1:10" ht="30" customHeight="1" x14ac:dyDescent="0.2">
      <c r="A68" s="371" t="s">
        <v>730</v>
      </c>
      <c r="B68" s="111"/>
      <c r="C68" s="238"/>
      <c r="D68" s="232"/>
      <c r="E68" s="120"/>
      <c r="G68" s="5" t="b">
        <f>OR($G$67,$B$67="YES")</f>
        <v>0</v>
      </c>
    </row>
    <row r="69" spans="1:10" ht="15" customHeight="1" thickBot="1" x14ac:dyDescent="0.25">
      <c r="A69" s="494" t="s">
        <v>731</v>
      </c>
      <c r="B69" s="495" t="str">
        <f>IF($B$65="","",IF($B$65="NO","No",IF($B$66="YES","No",IF($B$67="YES","No",IF($B$68="YES","No","Yes")))))</f>
        <v/>
      </c>
      <c r="C69" s="485"/>
      <c r="D69" s="484"/>
      <c r="E69" s="120"/>
      <c r="I69" s="5" t="b">
        <f>$B$69="YES"</f>
        <v>0</v>
      </c>
      <c r="J69"/>
    </row>
    <row r="70" spans="1:10" ht="15" customHeight="1" thickBot="1" x14ac:dyDescent="0.25">
      <c r="A70"/>
      <c r="B70"/>
      <c r="C70"/>
      <c r="D70"/>
      <c r="E70" s="120"/>
      <c r="J70"/>
    </row>
    <row r="71" spans="1:10" ht="17.100000000000001" customHeight="1" thickBot="1" x14ac:dyDescent="0.25">
      <c r="A71" s="483" t="s">
        <v>1066</v>
      </c>
      <c r="B71" s="482"/>
      <c r="C71" s="482"/>
      <c r="D71" s="243"/>
      <c r="E71" s="654"/>
      <c r="H71" s="626"/>
      <c r="J71"/>
    </row>
    <row r="72" spans="1:10" ht="30" customHeight="1" x14ac:dyDescent="0.2">
      <c r="A72" s="925" t="s">
        <v>1067</v>
      </c>
      <c r="B72" s="926"/>
      <c r="C72" s="926"/>
      <c r="D72" s="927"/>
      <c r="E72" s="210"/>
      <c r="H72" s="626"/>
      <c r="J72"/>
    </row>
    <row r="73" spans="1:10" ht="17.100000000000001" customHeight="1" thickBot="1" x14ac:dyDescent="0.25">
      <c r="A73" s="928" t="s">
        <v>1014</v>
      </c>
      <c r="B73" s="929"/>
      <c r="C73" s="929"/>
      <c r="D73" s="930"/>
      <c r="E73" s="210"/>
      <c r="H73" s="626"/>
      <c r="J73"/>
    </row>
    <row r="74" spans="1:10" ht="15" customHeight="1" x14ac:dyDescent="0.25">
      <c r="A74" s="623" t="s">
        <v>72</v>
      </c>
      <c r="B74" s="239" t="s">
        <v>73</v>
      </c>
      <c r="C74" s="655"/>
      <c r="D74" s="646"/>
      <c r="E74" s="210"/>
      <c r="J74"/>
    </row>
    <row r="75" spans="1:10" ht="30" customHeight="1" x14ac:dyDescent="0.2">
      <c r="A75" s="234" t="s">
        <v>1064</v>
      </c>
      <c r="B75" s="173"/>
      <c r="C75" s="918"/>
      <c r="D75" s="919"/>
      <c r="E75" s="210"/>
      <c r="H75" s="5" t="b">
        <f>$B75="NO"</f>
        <v>0</v>
      </c>
      <c r="J75"/>
    </row>
    <row r="76" spans="1:10" ht="30" customHeight="1" thickBot="1" x14ac:dyDescent="0.25">
      <c r="A76" s="262" t="s">
        <v>1065</v>
      </c>
      <c r="B76" s="624"/>
      <c r="C76" s="920"/>
      <c r="D76" s="921"/>
      <c r="E76" s="210"/>
      <c r="H76" s="5" t="b">
        <f>$B76="NO"</f>
        <v>0</v>
      </c>
      <c r="J76"/>
    </row>
    <row r="77" spans="1:10" ht="8.4499999999999993" customHeight="1" x14ac:dyDescent="0.2">
      <c r="A77" s="917"/>
      <c r="B77" s="791"/>
      <c r="C77" s="791"/>
      <c r="D77" s="791"/>
      <c r="E77" s="789"/>
    </row>
    <row r="78" spans="1:10" ht="14.25" x14ac:dyDescent="0.2">
      <c r="A78" s="906" t="str">
        <f t="shared" ref="A78" si="0">HYPERLINK("#Sheet_Base","End of sheet. Click here to move to the next sheet.")</f>
        <v>End of sheet. Click here to move to the next sheet.</v>
      </c>
      <c r="B78" s="906"/>
      <c r="C78" s="906"/>
      <c r="D78" s="906"/>
      <c r="E78" s="906"/>
    </row>
    <row r="79" spans="1:10" ht="8.4499999999999993" hidden="1" customHeight="1" x14ac:dyDescent="0.2">
      <c r="A79" s="791"/>
      <c r="B79" s="791"/>
      <c r="C79" s="791"/>
      <c r="D79" s="791"/>
      <c r="E79" s="791"/>
    </row>
    <row r="80" spans="1:10" hidden="1" x14ac:dyDescent="0.2">
      <c r="D80" s="5"/>
    </row>
    <row r="81" spans="4:4" hidden="1" x14ac:dyDescent="0.2">
      <c r="D81" s="5"/>
    </row>
    <row r="82" spans="4:4" hidden="1" x14ac:dyDescent="0.2">
      <c r="D82" s="5"/>
    </row>
    <row r="83" spans="4:4" hidden="1" x14ac:dyDescent="0.2">
      <c r="D83" s="5"/>
    </row>
    <row r="84" spans="4:4" hidden="1" x14ac:dyDescent="0.2">
      <c r="D84" s="5"/>
    </row>
  </sheetData>
  <sheetProtection algorithmName="SHA-512" hashValue="VcLG3dILAIubnZyFXjhUDSmkIemkpTKZyl3XSTNgih/i837kGvj3R5JyVPyqGHBmaZAzi5JVXo7VlzuQBXQbNg==" saltValue="9SqpkzXZVoQJqjfZU8YSFw==" spinCount="100000" sheet="1" objects="1" scenarios="1" formatColumns="0" formatRows="0" autoFilter="0"/>
  <mergeCells count="18">
    <mergeCell ref="A9:C9"/>
    <mergeCell ref="A72:D72"/>
    <mergeCell ref="A73:D73"/>
    <mergeCell ref="A1:D1"/>
    <mergeCell ref="A63:D63"/>
    <mergeCell ref="A2:D2"/>
    <mergeCell ref="A3:D3"/>
    <mergeCell ref="A4:D4"/>
    <mergeCell ref="A8:C8"/>
    <mergeCell ref="A78:E78"/>
    <mergeCell ref="A79:E79"/>
    <mergeCell ref="A53:D53"/>
    <mergeCell ref="A43:D43"/>
    <mergeCell ref="A13:D13"/>
    <mergeCell ref="A28:D28"/>
    <mergeCell ref="A77:E77"/>
    <mergeCell ref="C75:D75"/>
    <mergeCell ref="C76:D76"/>
  </mergeCells>
  <conditionalFormatting sqref="A11:D74 A75:C76">
    <cfRule type="expression" dxfId="25" priority="5">
      <formula>$D$9="NO"</formula>
    </cfRule>
  </conditionalFormatting>
  <conditionalFormatting sqref="A57:D60">
    <cfRule type="expression" dxfId="24" priority="6">
      <formula>$G$57</formula>
    </cfRule>
  </conditionalFormatting>
  <conditionalFormatting sqref="A66:D68">
    <cfRule type="expression" dxfId="23" priority="7">
      <formula>$G66</formula>
    </cfRule>
  </conditionalFormatting>
  <conditionalFormatting sqref="B69">
    <cfRule type="expression" dxfId="22" priority="461">
      <formula>$I$69</formula>
    </cfRule>
  </conditionalFormatting>
  <conditionalFormatting sqref="B75:B76">
    <cfRule type="expression" dxfId="21" priority="463">
      <formula>$H75</formula>
    </cfRule>
  </conditionalFormatting>
  <conditionalFormatting sqref="D9">
    <cfRule type="expression" dxfId="20" priority="20">
      <formula>$I$9</formula>
    </cfRule>
  </conditionalFormatting>
  <dataValidations count="47">
    <dataValidation type="list" allowBlank="1" showErrorMessage="1" promptTitle="If public notice is needed:" prompt="Are the site emissions of all air contaminant greater than 75 tpy? Enter or select &quot;Yes&quot; or &quot;No&quot;." sqref="B68" xr:uid="{9E05BD2C-084A-431A-B75B-2C55688FA941}">
      <formula1>"Yes,No"</formula1>
    </dataValidation>
    <dataValidation allowBlank="1" showErrorMessage="1" prompt="Enter the company name of the Responsible Person." sqref="A19 A34" xr:uid="{00000000-0002-0000-0700-00003F000000}"/>
    <dataValidation type="textLength" operator="greaterThan" allowBlank="1" showInputMessage="1" showErrorMessage="1" errorTitle="This text cannot be deleted" error="Please do not alter the text in this block of instructions. It has been left unlocked for accessibility purposes only. Altering the text in an instructions block may result in denial of the permit application." sqref="A12 A63:A64 A2:A3 A7:A8 A43 A53" xr:uid="{00000000-0002-0000-0700-00003D000000}">
      <formula1>1</formula1>
    </dataValidation>
    <dataValidation type="list" allowBlank="1" showErrorMessage="1" promptTitle="If public notice is needed:" prompt="Are the site emissions of all air contaminants combined greater than or equal to 75 tpy? Enter or select &quot;Yes&quot; or &quot;No&quot;." sqref="B68" xr:uid="{00000000-0002-0000-0700-00003C000000}">
      <formula1>YesNo</formula1>
    </dataValidation>
    <dataValidation type="list" allowBlank="1" showErrorMessage="1" promptTitle="If public notice is needed:" prompt="Are the site emissions of any individual air contaminant greater than or equal to 50 tpy? Enter or select &quot;Yes&quot; or &quot;No&quot;." sqref="B67" xr:uid="{00000000-0002-0000-0700-00003B000000}">
      <formula1>"Yes,No"</formula1>
    </dataValidation>
    <dataValidation type="list" allowBlank="1" showErrorMessage="1" promptTitle="If public notice is needed:" prompt="Is the site a major source under 30 TAC Chapter 122, Federal Operating Permit Program? Enter or select &quot;Yes&quot; or &quot;No&quot;." sqref="B66" xr:uid="{00000000-0002-0000-0700-00003A000000}">
      <formula1>"Yes,No"</formula1>
    </dataValidation>
    <dataValidation type="list" allowBlank="1" showErrorMessage="1" promptTitle="If public notice is needed:" prompt="Does the company (including parent and subsidiary companies) have fewer than 100 employees or less than $6 million in annual gross receipts? Enter or select &quot;Yes&quot; or &quot;No&quot;." sqref="B65" xr:uid="{00000000-0002-0000-0700-000039000000}">
      <formula1>"Yes,No"</formula1>
    </dataValidation>
    <dataValidation allowBlank="1" showErrorMessage="1" prompt="Enter the fax number of the Responsible Person." sqref="A26 A41" xr:uid="{00000000-0002-0000-0700-000030000000}"/>
    <dataValidation allowBlank="1" showErrorMessage="1" prompt="Enter the mailing address of the Responsible Person." sqref="A20:A21 A35:A36" xr:uid="{00000000-0002-0000-0700-00002A000000}"/>
    <dataValidation allowBlank="1" showErrorMessage="1" prompt="Enter the email address of the Responsible Person." sqref="A27 A42" xr:uid="{00000000-0002-0000-0700-000029000000}"/>
    <dataValidation allowBlank="1" showErrorMessage="1" prompt="Enter the title of the Responsible Person." sqref="A18 A33" xr:uid="{00000000-0002-0000-0700-000027000000}"/>
    <dataValidation type="list" allowBlank="1" showErrorMessage="1" promptTitle="If public notice is needed:" prompt="Enter or select the county of the public place." sqref="B50" xr:uid="{00000000-0002-0000-0700-000011000000}">
      <formula1>Counties</formula1>
    </dataValidation>
    <dataValidation allowBlank="1" showErrorMessage="1" promptTitle="Person Responsible - Publishing" prompt="Enter the prefix of the Person Responsible for Publishing, such as Mr., Ms., Dr., etc." sqref="B15" xr:uid="{DE28942A-7003-4CE3-B80E-25EA633EAE09}"/>
    <dataValidation allowBlank="1" showErrorMessage="1" promptTitle="Person Responsible - Publishing" prompt="Enter the first name of the Person Responsible for Publishing." sqref="B16" xr:uid="{5AB77ACF-91D9-4E2B-8D88-F1A087BF0833}"/>
    <dataValidation allowBlank="1" showErrorMessage="1" promptTitle="Person Responsible - Publishing" prompt="Enter the last name of the Person Responsible for Publishing." sqref="B17" xr:uid="{54F4C536-8B7D-47F5-BA54-D22A9F63F079}"/>
    <dataValidation allowBlank="1" showErrorMessage="1" promptTitle="Person Responsible - Publishing" prompt="Enter the title of the Person Responsible for Publishing." sqref="B18" xr:uid="{26BA8E41-3531-4DCC-B2A0-8B84C74A1EC9}"/>
    <dataValidation allowBlank="1" showErrorMessage="1" promptTitle="Person Responsible - Publishing" prompt="Enter the company name of the Person Responsible for Publishing." sqref="B19" xr:uid="{02E224C6-2CEB-4184-8EEB-C70818156A72}"/>
    <dataValidation allowBlank="1" showErrorMessage="1" promptTitle="Person Responsible - Publishing" prompt="Enter the mailing address of the Person Responsible for Publishing." sqref="B20:B21" xr:uid="{11FED663-5A4F-460A-9F38-E6EA24BF39F6}"/>
    <dataValidation allowBlank="1" showErrorMessage="1" promptTitle="Person Responsible - Publishing" prompt="Enter the city of the Person Responsible for Publishing." sqref="B22" xr:uid="{3E800512-9D6A-495D-B139-D632B88F1722}"/>
    <dataValidation allowBlank="1" showErrorMessage="1" promptTitle="Person Responsible - Publishing" prompt="Enter the state of the Person Responsible for Publishing." sqref="B23" xr:uid="{51EA6E6B-FD6A-4EE0-8671-09508701BB9D}"/>
    <dataValidation allowBlank="1" showErrorMessage="1" promptTitle="Person Responsible - Publishing" prompt="Enter the ZIP code of the Person Responsible for Publishing." sqref="B24" xr:uid="{4F1E529B-4746-4FAA-A536-0352B632C63B}"/>
    <dataValidation allowBlank="1" showErrorMessage="1" promptTitle="Person Responsible - Publishing" prompt="Enter the telephone number of the Person Responsible for Publishing." sqref="B25" xr:uid="{F219CA41-5B07-4983-8707-A68B3D56BECF}"/>
    <dataValidation allowBlank="1" showErrorMessage="1" promptTitle="Person Responsible - Publishing" prompt="Enter the fax number of the Person Responsible for Publishing." sqref="B26" xr:uid="{B8AE3B4B-4F87-4648-B87A-30A6A4C81E8A}"/>
    <dataValidation allowBlank="1" showErrorMessage="1" promptTitle="Person Responsible - Publishing" prompt="Enter the email address of the person responsible for publishing." sqref="B27" xr:uid="{1FC5F548-D12F-4822-AA0A-8BC3BE5969D7}"/>
    <dataValidation allowBlank="1" showErrorMessage="1" promptTitle="Technical Contact for Publishing" prompt="Enter the first name of the Technical Contact for Publishing." sqref="B31" xr:uid="{E7E4C6E2-58B9-41D9-A5D4-376A8AD031EC}"/>
    <dataValidation allowBlank="1" showErrorMessage="1" promptTitle="Technical Contact for Publishing" prompt="Enter the last name of the Technical Contact for Publishing." sqref="B32" xr:uid="{7563F860-A0F1-42DB-930A-06732F30295F}"/>
    <dataValidation allowBlank="1" showErrorMessage="1" promptTitle="Technical Contact for Publishing" prompt="Enter the title of the Technical Contact for Publishing." sqref="B33" xr:uid="{902768EE-976C-4C10-8D08-9534EFA3EF48}"/>
    <dataValidation allowBlank="1" showErrorMessage="1" promptTitle="Technical Contact for Publishing" prompt="Enter the company name of the Technical Contact for Publishing." sqref="B34" xr:uid="{1DFC1311-DB76-43E7-B97B-B5CD3B83C961}"/>
    <dataValidation allowBlank="1" showErrorMessage="1" promptTitle="Technical Contact for Publishing" prompt="Enter the mailing address of the Technical Contact for Publishing." sqref="B35:B36" xr:uid="{71BB8804-F71D-4F8A-9B3D-A3CBC1AEB264}"/>
    <dataValidation allowBlank="1" showErrorMessage="1" promptTitle="Technical Contact for Publishing" prompt="Enter the city of the Technical Contact for Publishing." sqref="B37" xr:uid="{822638C1-BDAE-4F1B-8178-EE0DB8D5AA7C}"/>
    <dataValidation allowBlank="1" showErrorMessage="1" promptTitle="Technical Contact for Publishing" prompt="Enter the state of the Technical Contact for Publishing." sqref="B38" xr:uid="{C3EDCEC2-51B6-4ACB-A109-4A8EF45C0252}"/>
    <dataValidation allowBlank="1" showErrorMessage="1" promptTitle="Technical Contact for Publishing" prompt="Enter the ZIP code of the Technical Contact for Publishing." sqref="B39" xr:uid="{91B691B8-DB26-4B27-9928-E74233CD07A5}"/>
    <dataValidation allowBlank="1" showErrorMessage="1" promptTitle="Technical Contact for Publishing" prompt="Enter the telephone number of the Technical Contact for Publishing." sqref="B40" xr:uid="{29F9EEBD-1840-4A86-90AB-5464DDD5AF1E}"/>
    <dataValidation allowBlank="1" showErrorMessage="1" promptTitle="Technical Contact for Publishing" prompt="Enter the fax number of the Technical Contact for Publishing." sqref="B41" xr:uid="{A05A8F49-8BB7-4754-8D88-F98E4D7E1731}"/>
    <dataValidation allowBlank="1" showErrorMessage="1" promptTitle="Technical Contact for Publishing" prompt="Enter the email address of the Technical Contact for Publishing." sqref="B42" xr:uid="{FC8201BF-971E-4CC8-A432-476C101711E3}"/>
    <dataValidation allowBlank="1" showErrorMessage="1" promptTitle="Technical Contact for Publishing" prompt="Enter the prefix of the Technical Contact for Publishing, such as Mr., Ms., Dr., etc." sqref="B30" xr:uid="{9DF152DB-7F36-4F9F-95AB-1650A7416688}"/>
    <dataValidation allowBlank="1" showErrorMessage="1" promptTitle="If public notice is needed" prompt="Enter the mailing address of the Public Place." sqref="B46:B47" xr:uid="{812F95C9-88CC-414D-B208-723182B60E56}"/>
    <dataValidation allowBlank="1" showErrorMessage="1" promptTitle="If public notice is needed" prompt="Enter the city of the Public Place." sqref="B48" xr:uid="{8301BF83-2550-49E8-BA16-65B58250D6AD}"/>
    <dataValidation allowBlank="1" showErrorMessage="1" promptTitle="If public notice is needed" prompt="Enter the ZIP code of the Public Place." sqref="B49" xr:uid="{307B0518-3373-43B9-9707-6CDC98B91B36}"/>
    <dataValidation allowBlank="1" showErrorMessage="1" promptTitle="If public notice is needed" prompt="Enter the name of the Public Place." sqref="B45" xr:uid="{C4180529-FA03-4699-9FAD-84312EDE2AA8}"/>
    <dataValidation type="list" errorStyle="information" allowBlank="1" showErrorMessage="1" errorTitle="Public Place Warning" error="The public place availability must be pre-arranged and indicated as such on this form. Please enter or select &quot;Yes&quot; to confirm the public place is available." promptTitle="If public notice is needed:" prompt="Has the public place granted authorization to place the application for public viewing and copying? Enter or select &quot;Yes&quot; or &quot;N/A&quot;." sqref="B51" xr:uid="{C9CA6D4F-EAF5-467E-8B65-3A9BE8A8BBB9}">
      <formula1>"Yes,N/A"</formula1>
    </dataValidation>
    <dataValidation type="list" errorStyle="information" allowBlank="1" showErrorMessage="1" errorTitle="Public Place Warning" error="The public place availability must be pre-arranged and indicated as such on the PI-1 form. Please enter or select &quot;Yes&quot; to confirm the public place is available." promptTitle="If public notice is needed:" prompt="Does the public place have Internet access available for the public? Enter or select &quot;Yes&quot; or &quot;No&quot;." sqref="B52" xr:uid="{2885175A-AE09-4D78-9FC0-75989937771A}">
      <formula1>"Yes,No"</formula1>
    </dataValidation>
    <dataValidation type="list" allowBlank="1" showErrorMessage="1" promptTitle="Bilingual Program" prompt="Are the children enrolled at the elementary/middle school closest to the facility eligible to be enrolled in a bilingual program provided by the district? Enter or select &quot;Yes&quot; or &quot;No&quot;." sqref="B55:B56" xr:uid="{BBB2208B-F7C8-47FC-8440-518780763C41}">
      <formula1>"Yes,No"</formula1>
    </dataValidation>
    <dataValidation allowBlank="1" showErrorMessage="1" promptTitle="Bilingual Program" prompt="List any languages required by the bilingual program, if applicable. Use separate lines for more than one additional language." sqref="B57:B60" xr:uid="{C7333CE6-EF4B-4672-B860-5509BB605F7F}"/>
    <dataValidation type="list" allowBlank="1" showErrorMessage="1" prompt="Is a Plain Language Summary in an alternative language as required by 30 TAC § 39.426(c) provided with the application? Enter or select &quot;Yes&quot; or &quot;No&quot;." sqref="B76" xr:uid="{81F96C1C-BC0B-4A35-B13F-F5F5C5D726AA}">
      <formula1>"Yes,No"</formula1>
    </dataValidation>
    <dataValidation type="list" allowBlank="1" showErrorMessage="1" prompt="Is a Plain Language Summary as required by 30 TAC § 39.405(k) provided with the application? Enter or select &quot;Yes&quot; or &quot;No&quot;." sqref="B75" xr:uid="{4310AFB6-ACC3-4224-861B-276B5182BB2A}">
      <formula1>"Yes,No"</formula1>
    </dataValidation>
    <dataValidation allowBlank="1" showErrorMessage="1" prompt="This cell intentionally left blank for internal comments. All internal comments must be submitted prior to application submittal." sqref="E5:E76" xr:uid="{AA421471-1B86-4C10-8B36-5D1AF7A8A51A}"/>
  </dataValidations>
  <hyperlinks>
    <hyperlink ref="A3" r:id="rId1" xr:uid="{00000000-0004-0000-0700-000000000000}"/>
    <hyperlink ref="A73" r:id="rId2" xr:uid="{1EBB39AF-8685-475A-9B3C-D8F06E54F9B8}"/>
    <hyperlink ref="A73:D73" r:id="rId3" tooltip="Click here to go to the NSR Application Tools webpage for plain-language summary templates." display="https://www.tceq.texas.gov/permitting/air/guidance/newsourcereview/nsrapp-tools.html" xr:uid="{92A89DA1-37F1-41B0-9C69-3CEDB137D936}"/>
  </hyperlinks>
  <printOptions horizontalCentered="1"/>
  <pageMargins left="0.25" right="0.25" top="0.57395833333333302" bottom="0.61354166666666698" header="0.3" footer="0.3"/>
  <pageSetup scale="73" fitToHeight="0" orientation="portrait" cellComments="asDisplayed" r:id="rId4"/>
  <headerFooter>
    <oddHeader>&amp;C&amp;"Arial,Regular"Engine Power Generation RAP Application</oddHeader>
    <oddFooter>&amp;L&amp;"Arial,Regular"Version: 1.0&amp;C&amp;"Arial,Regular"Sheet: &amp;A&amp;R&amp;"Arial,Regular"Page &amp;P</oddFooter>
  </headerFooter>
  <rowBreaks count="1" manualBreakCount="1">
    <brk id="52" max="6" man="1"/>
  </rowBreaks>
  <tableParts count="6">
    <tablePart r:id="rId5"/>
    <tablePart r:id="rId6"/>
    <tablePart r:id="rId7"/>
    <tablePart r:id="rId8"/>
    <tablePart r:id="rId9"/>
    <tablePart r:id="rId10"/>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D90F5-8DE2-4B0C-911B-49B2C020BB5E}">
  <sheetPr codeName="Sheet32">
    <tabColor rgb="FFFFDCDC"/>
  </sheetPr>
  <dimension ref="A1:K24"/>
  <sheetViews>
    <sheetView showGridLines="0" zoomScaleNormal="100" workbookViewId="0">
      <selection sqref="A1:I1"/>
    </sheetView>
  </sheetViews>
  <sheetFormatPr defaultColWidth="0" defaultRowHeight="14.25" zeroHeight="1" x14ac:dyDescent="0.2"/>
  <cols>
    <col min="1" max="1" width="31.625" customWidth="1"/>
    <col min="2" max="9" width="11.5" customWidth="1"/>
    <col min="10" max="10" width="40.625" customWidth="1"/>
    <col min="11" max="11" width="2.625" customWidth="1"/>
    <col min="12" max="16384" width="9" hidden="1"/>
  </cols>
  <sheetData>
    <row r="1" spans="1:10" ht="18.75" thickBot="1" x14ac:dyDescent="0.25">
      <c r="A1" s="861" t="s">
        <v>732</v>
      </c>
      <c r="B1" s="886"/>
      <c r="C1" s="886"/>
      <c r="D1" s="886"/>
      <c r="E1" s="886"/>
      <c r="F1" s="886"/>
      <c r="G1" s="886"/>
      <c r="H1" s="886"/>
      <c r="I1" s="942"/>
      <c r="J1" s="133" t="s">
        <v>60</v>
      </c>
    </row>
    <row r="2" spans="1:10" ht="76.5" customHeight="1" thickBot="1" x14ac:dyDescent="0.25">
      <c r="A2" s="943" t="s">
        <v>1094</v>
      </c>
      <c r="B2" s="842"/>
      <c r="C2" s="842"/>
      <c r="D2" s="842"/>
      <c r="E2" s="842"/>
      <c r="F2" s="842"/>
      <c r="G2" s="842"/>
      <c r="H2" s="842"/>
      <c r="I2" s="868"/>
      <c r="J2" s="267" t="s">
        <v>63</v>
      </c>
    </row>
    <row r="3" spans="1:10" ht="150" hidden="1" customHeight="1" thickBot="1" x14ac:dyDescent="0.25">
      <c r="A3" s="878" t="s">
        <v>1015</v>
      </c>
      <c r="B3" s="844"/>
      <c r="C3" s="844"/>
      <c r="D3" s="844"/>
      <c r="E3" s="844"/>
      <c r="F3" s="844"/>
      <c r="G3" s="844"/>
      <c r="H3" s="844"/>
      <c r="I3" s="879"/>
      <c r="J3" s="83"/>
    </row>
    <row r="4" spans="1:10" ht="15" customHeight="1" thickBot="1" x14ac:dyDescent="0.25">
      <c r="A4" s="944"/>
      <c r="B4" s="945"/>
      <c r="C4" s="945"/>
      <c r="D4" s="945"/>
      <c r="E4" s="945"/>
      <c r="F4" s="945"/>
      <c r="G4" s="945"/>
      <c r="H4" s="945"/>
      <c r="I4" s="945"/>
      <c r="J4" s="680"/>
    </row>
    <row r="5" spans="1:10" s="50" customFormat="1" ht="32.25" thickBot="1" x14ac:dyDescent="0.25">
      <c r="A5" s="697" t="s">
        <v>733</v>
      </c>
      <c r="B5" s="693" t="s">
        <v>734</v>
      </c>
      <c r="C5" s="698" t="s">
        <v>735</v>
      </c>
      <c r="D5" s="698" t="s">
        <v>736</v>
      </c>
      <c r="E5" s="698" t="s">
        <v>737</v>
      </c>
      <c r="F5" s="698" t="s">
        <v>738</v>
      </c>
      <c r="G5" s="699" t="s">
        <v>739</v>
      </c>
      <c r="H5" s="698" t="s">
        <v>740</v>
      </c>
      <c r="I5" s="694" t="s">
        <v>741</v>
      </c>
      <c r="J5" s="695" t="s">
        <v>60</v>
      </c>
    </row>
    <row r="6" spans="1:10" ht="51.75" customHeight="1" thickBot="1" x14ac:dyDescent="0.25">
      <c r="A6" s="64" t="s">
        <v>742</v>
      </c>
      <c r="B6" s="65"/>
      <c r="C6" s="66"/>
      <c r="D6" s="66"/>
      <c r="E6" s="66"/>
      <c r="F6" s="66"/>
      <c r="G6" s="67"/>
      <c r="H6" s="66"/>
      <c r="I6" s="700"/>
      <c r="J6" s="696"/>
    </row>
    <row r="7" spans="1:10" ht="35.1" hidden="1" customHeight="1" x14ac:dyDescent="0.2">
      <c r="A7" s="660" t="str">
        <f ca="1">"Baseline Emission Period (e.g. Feb "&amp;YEAR(TodaysDate)-1&amp;" - Jan "&amp;YEAR(TodaysDate)&amp;")"</f>
        <v>Baseline Emission Period (e.g. Feb 2022 - Jan 2023)</v>
      </c>
      <c r="B7" s="68"/>
      <c r="C7" s="69"/>
      <c r="D7" s="69"/>
      <c r="E7" s="69"/>
      <c r="F7" s="69"/>
      <c r="G7" s="70"/>
      <c r="H7" s="69"/>
      <c r="I7" s="70"/>
      <c r="J7" s="661"/>
    </row>
    <row r="8" spans="1:10" ht="20.100000000000001" hidden="1" customHeight="1" x14ac:dyDescent="0.2">
      <c r="A8" s="242" t="s">
        <v>743</v>
      </c>
      <c r="B8" s="68"/>
      <c r="C8" s="69"/>
      <c r="D8" s="69"/>
      <c r="E8" s="69"/>
      <c r="F8" s="69"/>
      <c r="G8" s="70"/>
      <c r="H8" s="69"/>
      <c r="I8" s="70"/>
      <c r="J8" s="661"/>
    </row>
    <row r="9" spans="1:10" ht="20.100000000000001" hidden="1" customHeight="1" x14ac:dyDescent="0.2">
      <c r="A9" s="232" t="s">
        <v>744</v>
      </c>
      <c r="B9" s="72"/>
      <c r="C9" s="73"/>
      <c r="D9" s="73"/>
      <c r="E9" s="73"/>
      <c r="F9" s="73"/>
      <c r="G9" s="74"/>
      <c r="H9" s="73"/>
      <c r="I9" s="74"/>
      <c r="J9" s="661"/>
    </row>
    <row r="10" spans="1:10" ht="20.100000000000001" hidden="1" customHeight="1" x14ac:dyDescent="0.2">
      <c r="A10" s="232" t="s">
        <v>745</v>
      </c>
      <c r="B10" s="72"/>
      <c r="C10" s="73"/>
      <c r="D10" s="73"/>
      <c r="E10" s="73"/>
      <c r="F10" s="73"/>
      <c r="G10" s="74"/>
      <c r="H10" s="73"/>
      <c r="I10" s="74"/>
      <c r="J10" s="661"/>
    </row>
    <row r="11" spans="1:10" ht="20.100000000000001" hidden="1" customHeight="1" x14ac:dyDescent="0.2">
      <c r="A11" s="232" t="s">
        <v>746</v>
      </c>
      <c r="B11" s="72"/>
      <c r="C11" s="73"/>
      <c r="D11" s="73"/>
      <c r="E11" s="73"/>
      <c r="F11" s="73"/>
      <c r="G11" s="74"/>
      <c r="H11" s="73"/>
      <c r="I11" s="74"/>
      <c r="J11" s="661"/>
    </row>
    <row r="12" spans="1:10" ht="20.100000000000001" hidden="1" customHeight="1" x14ac:dyDescent="0.2">
      <c r="A12" s="232" t="s">
        <v>747</v>
      </c>
      <c r="B12" s="72"/>
      <c r="C12" s="73"/>
      <c r="D12" s="73"/>
      <c r="E12" s="73"/>
      <c r="F12" s="73"/>
      <c r="G12" s="74"/>
      <c r="H12" s="73"/>
      <c r="I12" s="74"/>
      <c r="J12" s="661"/>
    </row>
    <row r="13" spans="1:10" ht="20.100000000000001" hidden="1" customHeight="1" x14ac:dyDescent="0.2">
      <c r="A13" s="232" t="s">
        <v>748</v>
      </c>
      <c r="B13" s="72"/>
      <c r="C13" s="73"/>
      <c r="D13" s="73"/>
      <c r="E13" s="73"/>
      <c r="F13" s="73"/>
      <c r="G13" s="74"/>
      <c r="H13" s="73"/>
      <c r="I13" s="74"/>
      <c r="J13" s="661"/>
    </row>
    <row r="14" spans="1:10" ht="20.100000000000001" hidden="1" customHeight="1" x14ac:dyDescent="0.2">
      <c r="A14" s="232" t="s">
        <v>749</v>
      </c>
      <c r="B14" s="72"/>
      <c r="C14" s="73"/>
      <c r="D14" s="73"/>
      <c r="E14" s="73"/>
      <c r="F14" s="73"/>
      <c r="G14" s="74"/>
      <c r="H14" s="73"/>
      <c r="I14" s="74"/>
      <c r="J14" s="661"/>
    </row>
    <row r="15" spans="1:10" ht="20.100000000000001" hidden="1" customHeight="1" x14ac:dyDescent="0.2">
      <c r="A15" s="232" t="s">
        <v>750</v>
      </c>
      <c r="B15" s="72"/>
      <c r="C15" s="73"/>
      <c r="D15" s="73"/>
      <c r="E15" s="73"/>
      <c r="F15" s="73"/>
      <c r="G15" s="74"/>
      <c r="H15" s="73"/>
      <c r="I15" s="74"/>
      <c r="J15" s="661"/>
    </row>
    <row r="16" spans="1:10" ht="20.100000000000001" hidden="1" customHeight="1" x14ac:dyDescent="0.2">
      <c r="A16" s="232" t="s">
        <v>751</v>
      </c>
      <c r="B16" s="72"/>
      <c r="C16" s="73"/>
      <c r="D16" s="73"/>
      <c r="E16" s="73"/>
      <c r="F16" s="73"/>
      <c r="G16" s="74"/>
      <c r="H16" s="73"/>
      <c r="I16" s="74"/>
      <c r="J16" s="661"/>
    </row>
    <row r="17" spans="1:11" ht="20.100000000000001" hidden="1" customHeight="1" x14ac:dyDescent="0.2">
      <c r="A17" s="232" t="s">
        <v>752</v>
      </c>
      <c r="B17" s="75"/>
      <c r="C17" s="76"/>
      <c r="D17" s="76"/>
      <c r="E17" s="76"/>
      <c r="F17" s="76"/>
      <c r="G17" s="77"/>
      <c r="H17" s="76"/>
      <c r="I17" s="77"/>
      <c r="J17" s="661"/>
    </row>
    <row r="18" spans="1:11" ht="20.100000000000001" hidden="1" customHeight="1" thickBot="1" x14ac:dyDescent="0.25">
      <c r="A18" s="248" t="s">
        <v>753</v>
      </c>
      <c r="B18" s="75"/>
      <c r="C18" s="76"/>
      <c r="D18" s="76"/>
      <c r="E18" s="76"/>
      <c r="F18" s="76"/>
      <c r="G18" s="77"/>
      <c r="H18" s="76"/>
      <c r="I18" s="77"/>
      <c r="J18" s="661"/>
    </row>
    <row r="19" spans="1:11" ht="20.100000000000001" hidden="1" customHeight="1" thickBot="1" x14ac:dyDescent="0.25">
      <c r="A19" s="233" t="s">
        <v>754</v>
      </c>
      <c r="B19" s="249">
        <f>SUM(B8:B18)</f>
        <v>0</v>
      </c>
      <c r="C19" s="250">
        <f t="shared" ref="C19:I19" si="0">SUM(C8:C18)</f>
        <v>0</v>
      </c>
      <c r="D19" s="250">
        <f t="shared" si="0"/>
        <v>0</v>
      </c>
      <c r="E19" s="250">
        <f t="shared" si="0"/>
        <v>0</v>
      </c>
      <c r="F19" s="250">
        <f t="shared" si="0"/>
        <v>0</v>
      </c>
      <c r="G19" s="251">
        <f>SUM(G8:G18)</f>
        <v>0</v>
      </c>
      <c r="H19" s="250">
        <f t="shared" si="0"/>
        <v>0</v>
      </c>
      <c r="I19" s="251">
        <f t="shared" si="0"/>
        <v>0</v>
      </c>
      <c r="J19" s="661"/>
    </row>
    <row r="20" spans="1:11" ht="8.4499999999999993" customHeight="1" x14ac:dyDescent="0.2">
      <c r="A20" s="946"/>
      <c r="B20" s="947"/>
      <c r="C20" s="947"/>
      <c r="D20" s="947"/>
      <c r="E20" s="947"/>
      <c r="F20" s="947"/>
      <c r="G20" s="947"/>
      <c r="H20" s="947"/>
      <c r="I20" s="947"/>
      <c r="J20" s="947"/>
    </row>
    <row r="21" spans="1:11" x14ac:dyDescent="0.2">
      <c r="A21" s="883" t="str">
        <f>HYPERLINK("#Sheet_FedApp","End of sheet. Click here to move to the next sheet.")</f>
        <v>End of sheet. Click here to move to the next sheet.</v>
      </c>
      <c r="B21" s="883"/>
      <c r="C21" s="883"/>
      <c r="D21" s="883"/>
      <c r="E21" s="883"/>
      <c r="F21" s="883"/>
      <c r="G21" s="883"/>
      <c r="H21" s="883"/>
      <c r="I21" s="883"/>
      <c r="J21" s="883"/>
    </row>
    <row r="22" spans="1:11" ht="14.25" hidden="1" customHeight="1" x14ac:dyDescent="0.2">
      <c r="A22" s="941"/>
      <c r="B22" s="941"/>
      <c r="C22" s="941"/>
      <c r="D22" s="941"/>
      <c r="E22" s="941"/>
      <c r="F22" s="941"/>
      <c r="G22" s="941"/>
      <c r="H22" s="941"/>
      <c r="I22" s="941"/>
      <c r="J22" s="941"/>
    </row>
    <row r="23" spans="1:11" hidden="1" x14ac:dyDescent="0.2">
      <c r="A23" s="565" t="s">
        <v>755</v>
      </c>
      <c r="B23" s="566" t="s">
        <v>247</v>
      </c>
      <c r="C23" s="567" t="s">
        <v>756</v>
      </c>
      <c r="D23" s="566" t="s">
        <v>248</v>
      </c>
      <c r="E23" s="566" t="s">
        <v>375</v>
      </c>
      <c r="F23" s="566" t="s">
        <v>376</v>
      </c>
      <c r="G23" s="566" t="s">
        <v>251</v>
      </c>
      <c r="H23" s="566" t="s">
        <v>377</v>
      </c>
      <c r="I23" s="566" t="s">
        <v>382</v>
      </c>
      <c r="J23" s="566" t="s">
        <v>757</v>
      </c>
      <c r="K23" s="568" t="s">
        <v>758</v>
      </c>
    </row>
    <row r="24" spans="1:11" ht="8.4499999999999993" hidden="1" customHeight="1" x14ac:dyDescent="0.2">
      <c r="A24" s="941"/>
      <c r="B24" s="941"/>
      <c r="C24" s="941"/>
      <c r="D24" s="941"/>
      <c r="E24" s="941"/>
      <c r="F24" s="941"/>
      <c r="G24" s="941"/>
      <c r="H24" s="941"/>
      <c r="I24" s="941"/>
      <c r="J24" s="941"/>
    </row>
  </sheetData>
  <sheetProtection algorithmName="SHA-512" hashValue="8pSeSMbQ5AMAyvhKTh3+gLLoj/JjrK5MFaU3kGfHGnL91Nrx2K7KsSA5RTjCwg3DHHYL9fMd2gqtw20QgeoDMQ==" saltValue="ZA9OeQEy+PSiqIvnPwSPbw==" spinCount="100000" sheet="1" objects="1" scenarios="1" formatColumns="0" formatRows="0" autoFilter="0"/>
  <mergeCells count="8">
    <mergeCell ref="A21:J21"/>
    <mergeCell ref="A24:J24"/>
    <mergeCell ref="A1:I1"/>
    <mergeCell ref="A2:I2"/>
    <mergeCell ref="A4:I4"/>
    <mergeCell ref="A20:J20"/>
    <mergeCell ref="A3:I3"/>
    <mergeCell ref="A22:J22"/>
  </mergeCells>
  <conditionalFormatting sqref="B6:I19">
    <cfRule type="expression" dxfId="18" priority="287">
      <formula>B$19&gt;B$6</formula>
    </cfRule>
  </conditionalFormatting>
  <dataValidations count="4">
    <dataValidation allowBlank="1" showErrorMessage="1" prompt="This cell intentionally left blank for internal comments. All internal comments must be submitted prior to application submittal." sqref="J4:J19" xr:uid="{3638ECC4-802E-4A2C-B837-3E395094CB6F}"/>
    <dataValidation allowBlank="1" showErrorMessage="1" prompt="Enter the baseline years for this pollutant. The years must be consecutive, but do not have to be from January to December. This must be a two-year period." sqref="B7:I7" xr:uid="{698B44AE-0A6C-4D53-B426-BDB6206CB3EF}"/>
    <dataValidation type="decimal" operator="greaterThanOrEqual" allowBlank="1" showInputMessage="1" showErrorMessage="1" sqref="B6:I6" xr:uid="{E60FF853-5697-47BD-91F8-3149780C3B0D}">
      <formula1>0</formula1>
    </dataValidation>
    <dataValidation type="decimal" allowBlank="1" showErrorMessage="1" prompt="Enter the baseline emission rate for this EPN and pollutant. If there is no baseline emission rate,leave blank. Each baseline emission rate and the sum of the baseline emission rates for each pollutant must be at or below the current sitewide PTE." sqref="B8:I19" xr:uid="{9C9DA0E0-B071-49DD-B184-05C9D32110BC}">
      <formula1>0</formula1>
      <formula2>B$6</formula2>
    </dataValidation>
  </dataValidations>
  <printOptions horizontalCentered="1"/>
  <pageMargins left="0.25" right="0.25" top="0.57395833333333302" bottom="0.61354166666666698" header="0.3" footer="0.3"/>
  <pageSetup scale="73" orientation="landscape" r:id="rId1"/>
  <headerFooter>
    <oddHeader>&amp;C&amp;"Arial,Regular"Engine Power Generation RAP Application</oddHeader>
    <oddFooter>&amp;L&amp;"Arial,Regular"Version: 1.0&amp;C&amp;"Arial,Regular"Sheet: &amp;A&amp;R&amp;"Arial,Regular"Page &amp;P</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3C1AC56B-E8AA-4F98-85E1-3B6166FB31EC}">
            <xm:f>NOT(Reference!AA15)</xm:f>
            <x14:dxf>
              <font>
                <color theme="0" tint="-0.499984740745262"/>
              </font>
              <numFmt numFmtId="174" formatCode=";;;"/>
              <fill>
                <patternFill>
                  <bgColor theme="0" tint="-0.499984740745262"/>
                </patternFill>
              </fill>
            </x14:dxf>
          </x14:cfRule>
          <xm:sqref>A6:F18 H6:H18</xm:sqref>
        </x14:conditionalFormatting>
        <x14:conditionalFormatting xmlns:xm="http://schemas.microsoft.com/office/excel/2006/main">
          <x14:cfRule type="expression" priority="469" id="{3C1AC56B-E8AA-4F98-85E1-3B6166FB31EC}">
            <xm:f>NOT(Reference!AI15)</xm:f>
            <x14:dxf>
              <font>
                <color theme="0" tint="-0.499984740745262"/>
              </font>
              <numFmt numFmtId="174" formatCode=";;;"/>
              <fill>
                <patternFill>
                  <bgColor theme="0" tint="-0.499984740745262"/>
                </patternFill>
              </fill>
            </x14:dxf>
          </x14:cfRule>
          <xm:sqref>G6:G18</xm:sqref>
        </x14:conditionalFormatting>
        <x14:conditionalFormatting xmlns:xm="http://schemas.microsoft.com/office/excel/2006/main">
          <x14:cfRule type="expression" priority="198" id="{3C1AC56B-E8AA-4F98-85E1-3B6166FB31EC}">
            <xm:f>NOT(Reference!AN15)</xm:f>
            <x14:dxf>
              <font>
                <color theme="0" tint="-0.499984740745262"/>
              </font>
              <numFmt numFmtId="174" formatCode=";;;"/>
              <fill>
                <patternFill>
                  <bgColor theme="0" tint="-0.499984740745262"/>
                </patternFill>
              </fill>
            </x14:dxf>
          </x14:cfRule>
          <xm:sqref>I6:I18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0A8AB-F2E2-4369-8F44-E8529F6ECDC9}">
  <sheetPr codeName="Sheet27">
    <tabColor rgb="FFFFDCDC"/>
  </sheetPr>
  <dimension ref="A1:CR75"/>
  <sheetViews>
    <sheetView showGridLines="0" zoomScaleNormal="100" workbookViewId="0">
      <selection sqref="A1:D1"/>
    </sheetView>
  </sheetViews>
  <sheetFormatPr defaultColWidth="0" defaultRowHeight="14.25" zeroHeight="1" x14ac:dyDescent="0.2"/>
  <cols>
    <col min="1" max="1" width="60.625" style="51" customWidth="1"/>
    <col min="2" max="4" width="30" style="51" customWidth="1"/>
    <col min="5" max="5" width="35.625" customWidth="1"/>
    <col min="6" max="6" width="2.625" style="51" customWidth="1"/>
    <col min="7" max="18" width="7.625" style="51" hidden="1" customWidth="1"/>
    <col min="19" max="19" width="25.375" style="51" hidden="1" customWidth="1"/>
    <col min="20" max="96" width="7.625" style="51" hidden="1" customWidth="1"/>
    <col min="97" max="16384" width="0.25" style="51" hidden="1"/>
  </cols>
  <sheetData>
    <row r="1" spans="1:27" ht="18.75" thickBot="1" x14ac:dyDescent="0.25">
      <c r="A1" s="965" t="s">
        <v>759</v>
      </c>
      <c r="B1" s="966"/>
      <c r="C1" s="966"/>
      <c r="D1" s="967"/>
      <c r="E1" s="133" t="s">
        <v>60</v>
      </c>
      <c r="G1" s="254"/>
      <c r="H1" s="255"/>
      <c r="I1" s="253"/>
      <c r="J1" s="253"/>
      <c r="K1" s="253"/>
      <c r="L1" s="253"/>
      <c r="N1" s="256" t="s">
        <v>760</v>
      </c>
      <c r="P1" s="256" t="s">
        <v>761</v>
      </c>
      <c r="Q1" s="256"/>
      <c r="R1" s="256"/>
      <c r="S1" s="256"/>
      <c r="T1" s="256"/>
      <c r="V1" s="256" t="s">
        <v>762</v>
      </c>
      <c r="W1" s="256"/>
      <c r="X1" s="256"/>
      <c r="Y1" s="256"/>
      <c r="AA1" s="256" t="s">
        <v>763</v>
      </c>
    </row>
    <row r="2" spans="1:27" ht="30" customHeight="1" x14ac:dyDescent="0.2">
      <c r="A2" s="781" t="s">
        <v>764</v>
      </c>
      <c r="B2" s="968"/>
      <c r="C2" s="968"/>
      <c r="D2" s="969"/>
      <c r="E2" s="267" t="s">
        <v>63</v>
      </c>
      <c r="G2" s="254"/>
      <c r="H2" s="255"/>
      <c r="I2" s="253"/>
      <c r="J2" s="253"/>
      <c r="K2" s="253"/>
      <c r="L2" s="253"/>
      <c r="N2" s="256" t="s">
        <v>369</v>
      </c>
      <c r="P2" s="256" t="s">
        <v>765</v>
      </c>
      <c r="Q2" s="256" t="s">
        <v>240</v>
      </c>
      <c r="R2" s="256" t="s">
        <v>766</v>
      </c>
      <c r="S2" s="256" t="s">
        <v>767</v>
      </c>
      <c r="T2" s="256" t="s">
        <v>768</v>
      </c>
      <c r="V2" s="256"/>
      <c r="W2" s="256" t="s">
        <v>769</v>
      </c>
      <c r="X2" s="256" t="s">
        <v>377</v>
      </c>
      <c r="Y2" s="256" t="s">
        <v>375</v>
      </c>
      <c r="AA2" s="256" t="s">
        <v>770</v>
      </c>
    </row>
    <row r="3" spans="1:27" ht="90" customHeight="1" x14ac:dyDescent="0.2">
      <c r="A3" s="778" t="s">
        <v>771</v>
      </c>
      <c r="B3" s="970"/>
      <c r="C3" s="970"/>
      <c r="D3" s="971"/>
      <c r="E3" s="266"/>
      <c r="G3" s="254"/>
      <c r="H3" s="255"/>
      <c r="I3" s="253"/>
      <c r="J3" s="253"/>
      <c r="K3" s="253"/>
      <c r="L3" s="253"/>
      <c r="N3" s="256" t="s">
        <v>516</v>
      </c>
      <c r="P3" s="256" t="s">
        <v>369</v>
      </c>
      <c r="Q3" s="256" t="s">
        <v>377</v>
      </c>
      <c r="R3" s="256" t="s">
        <v>772</v>
      </c>
      <c r="S3" s="256" t="s">
        <v>773</v>
      </c>
      <c r="T3" s="256" t="s">
        <v>774</v>
      </c>
      <c r="V3" s="256" t="s">
        <v>775</v>
      </c>
      <c r="W3" s="256"/>
      <c r="X3" s="256">
        <v>100</v>
      </c>
      <c r="Y3" s="256"/>
      <c r="AA3" s="256" t="s">
        <v>776</v>
      </c>
    </row>
    <row r="4" spans="1:27" ht="90" customHeight="1" x14ac:dyDescent="0.2">
      <c r="A4" s="778" t="s">
        <v>777</v>
      </c>
      <c r="B4" s="970"/>
      <c r="C4" s="970"/>
      <c r="D4" s="971"/>
      <c r="E4" s="266"/>
      <c r="G4" s="254"/>
      <c r="H4" s="255"/>
      <c r="I4" s="253"/>
      <c r="J4" s="253"/>
      <c r="K4" s="253"/>
      <c r="L4" s="253"/>
      <c r="N4" s="256" t="s">
        <v>549</v>
      </c>
      <c r="P4" s="256" t="s">
        <v>422</v>
      </c>
      <c r="Q4" s="256" t="s">
        <v>778</v>
      </c>
      <c r="R4" s="256" t="s">
        <v>795</v>
      </c>
      <c r="S4" s="256" t="s">
        <v>1092</v>
      </c>
      <c r="T4" s="692" t="s">
        <v>1090</v>
      </c>
      <c r="V4" s="256" t="s">
        <v>779</v>
      </c>
      <c r="W4" s="256">
        <v>100</v>
      </c>
      <c r="X4" s="256"/>
      <c r="Y4" s="256"/>
      <c r="AA4" s="256" t="s">
        <v>780</v>
      </c>
    </row>
    <row r="5" spans="1:27" ht="17.100000000000001" customHeight="1" thickBot="1" x14ac:dyDescent="0.25">
      <c r="A5" s="972" t="s">
        <v>781</v>
      </c>
      <c r="B5" s="973"/>
      <c r="C5" s="973"/>
      <c r="D5" s="974"/>
      <c r="E5" s="266"/>
      <c r="G5" s="254"/>
      <c r="H5" s="255"/>
      <c r="I5" s="253"/>
      <c r="J5" s="253"/>
      <c r="K5" s="253"/>
      <c r="L5" s="253"/>
      <c r="N5" s="256" t="s">
        <v>552</v>
      </c>
      <c r="P5" s="256" t="s">
        <v>427</v>
      </c>
      <c r="Q5" s="256" t="s">
        <v>778</v>
      </c>
      <c r="R5" s="256" t="s">
        <v>1091</v>
      </c>
      <c r="S5" s="256" t="s">
        <v>1093</v>
      </c>
      <c r="T5" s="692" t="s">
        <v>1090</v>
      </c>
      <c r="V5" s="256" t="s">
        <v>782</v>
      </c>
      <c r="W5" s="256">
        <v>100</v>
      </c>
      <c r="X5" s="256"/>
      <c r="Y5" s="256">
        <v>100</v>
      </c>
      <c r="AA5" s="256" t="s">
        <v>783</v>
      </c>
    </row>
    <row r="6" spans="1:27" ht="15" thickBot="1" x14ac:dyDescent="0.25">
      <c r="A6" s="312"/>
      <c r="E6" s="575"/>
      <c r="G6" s="254"/>
      <c r="H6" s="255"/>
      <c r="I6" s="253"/>
      <c r="J6" s="253"/>
      <c r="K6" s="253"/>
      <c r="L6" s="253"/>
      <c r="N6" s="256" t="s">
        <v>95</v>
      </c>
      <c r="P6" s="256" t="s">
        <v>454</v>
      </c>
      <c r="Q6" s="256" t="s">
        <v>778</v>
      </c>
      <c r="R6" s="256" t="s">
        <v>1091</v>
      </c>
      <c r="S6" s="256" t="s">
        <v>1093</v>
      </c>
      <c r="T6" s="692" t="s">
        <v>1090</v>
      </c>
      <c r="V6" s="256" t="s">
        <v>784</v>
      </c>
      <c r="W6" s="256">
        <v>50</v>
      </c>
      <c r="X6" s="256"/>
      <c r="Y6" s="256">
        <v>70</v>
      </c>
      <c r="AA6" s="256" t="s">
        <v>785</v>
      </c>
    </row>
    <row r="7" spans="1:27" ht="15.75" thickBot="1" x14ac:dyDescent="0.3">
      <c r="A7" s="961" t="s">
        <v>786</v>
      </c>
      <c r="B7" s="962"/>
      <c r="C7"/>
      <c r="D7"/>
      <c r="E7" s="576"/>
      <c r="G7" s="254"/>
      <c r="H7" s="255"/>
      <c r="I7" s="253"/>
      <c r="J7" s="253"/>
      <c r="K7" s="253"/>
      <c r="L7" s="253"/>
      <c r="N7" s="256" t="s">
        <v>617</v>
      </c>
      <c r="P7" s="256" t="s">
        <v>471</v>
      </c>
      <c r="Q7" s="256" t="s">
        <v>778</v>
      </c>
      <c r="R7" s="256" t="s">
        <v>1091</v>
      </c>
      <c r="S7" s="256" t="s">
        <v>1093</v>
      </c>
      <c r="T7" s="692" t="s">
        <v>1090</v>
      </c>
      <c r="V7" s="256" t="s">
        <v>787</v>
      </c>
      <c r="W7" s="256">
        <v>25</v>
      </c>
      <c r="X7" s="256"/>
      <c r="Y7" s="256"/>
      <c r="AA7" s="256" t="s">
        <v>788</v>
      </c>
    </row>
    <row r="8" spans="1:27" ht="15" x14ac:dyDescent="0.2">
      <c r="A8" s="486" t="s">
        <v>72</v>
      </c>
      <c r="B8" s="487" t="s">
        <v>73</v>
      </c>
      <c r="C8"/>
      <c r="D8"/>
      <c r="E8" s="576"/>
      <c r="G8" s="254"/>
      <c r="H8" s="255"/>
      <c r="I8" s="253"/>
      <c r="J8" s="253"/>
      <c r="K8" s="253"/>
      <c r="L8" s="253"/>
      <c r="N8" s="256" t="s">
        <v>635</v>
      </c>
      <c r="P8" s="256" t="s">
        <v>493</v>
      </c>
      <c r="Q8" s="256" t="s">
        <v>778</v>
      </c>
      <c r="R8" s="256" t="s">
        <v>1091</v>
      </c>
      <c r="S8" s="256" t="s">
        <v>1093</v>
      </c>
      <c r="T8" s="692" t="s">
        <v>1090</v>
      </c>
      <c r="V8" s="256" t="s">
        <v>789</v>
      </c>
      <c r="W8" s="256">
        <v>10</v>
      </c>
      <c r="X8" s="256"/>
      <c r="Y8" s="256"/>
      <c r="AA8" s="256" t="s">
        <v>790</v>
      </c>
    </row>
    <row r="9" spans="1:27" ht="28.5" x14ac:dyDescent="0.2">
      <c r="A9" s="488" t="s">
        <v>791</v>
      </c>
      <c r="B9" s="489"/>
      <c r="C9"/>
      <c r="D9"/>
      <c r="E9" s="576"/>
      <c r="G9" s="254"/>
      <c r="H9" s="255" t="b">
        <f>$B$9="I DISAGREE"</f>
        <v>0</v>
      </c>
      <c r="I9" s="253"/>
      <c r="J9" s="253"/>
      <c r="K9" s="253"/>
      <c r="L9" s="253"/>
      <c r="N9" s="256" t="s">
        <v>659</v>
      </c>
      <c r="P9" s="256" t="s">
        <v>496</v>
      </c>
      <c r="Q9" s="256" t="s">
        <v>778</v>
      </c>
      <c r="R9" s="256" t="s">
        <v>1091</v>
      </c>
      <c r="S9" s="256" t="s">
        <v>1093</v>
      </c>
      <c r="T9" s="692" t="s">
        <v>1090</v>
      </c>
      <c r="V9" s="256" t="s">
        <v>792</v>
      </c>
      <c r="W9" s="256"/>
      <c r="X9" s="256">
        <v>40</v>
      </c>
      <c r="Y9" s="256"/>
      <c r="AA9" s="256" t="s">
        <v>793</v>
      </c>
    </row>
    <row r="10" spans="1:27" ht="114.95" customHeight="1" x14ac:dyDescent="0.2">
      <c r="A10" s="257" t="s">
        <v>794</v>
      </c>
      <c r="B10" s="490"/>
      <c r="C10"/>
      <c r="D10"/>
      <c r="E10" s="576"/>
      <c r="G10" s="254"/>
      <c r="H10" s="255" t="b">
        <f>$B$10="I DISAGREE"</f>
        <v>0</v>
      </c>
      <c r="I10" s="253"/>
      <c r="J10" s="253"/>
      <c r="K10" s="253"/>
      <c r="L10" s="253"/>
      <c r="N10" s="256" t="s">
        <v>506</v>
      </c>
      <c r="P10" s="256" t="s">
        <v>506</v>
      </c>
      <c r="Q10" s="256" t="s">
        <v>375</v>
      </c>
      <c r="R10" s="256" t="s">
        <v>795</v>
      </c>
      <c r="S10" s="256" t="s">
        <v>796</v>
      </c>
      <c r="T10" s="256" t="s">
        <v>797</v>
      </c>
      <c r="V10" s="256" t="s">
        <v>798</v>
      </c>
      <c r="W10" s="256">
        <v>40</v>
      </c>
      <c r="X10" s="256"/>
      <c r="Y10" s="256"/>
      <c r="AA10" s="256" t="s">
        <v>799</v>
      </c>
    </row>
    <row r="11" spans="1:27" x14ac:dyDescent="0.2">
      <c r="A11" s="257" t="s">
        <v>800</v>
      </c>
      <c r="B11" s="490"/>
      <c r="C11"/>
      <c r="D11"/>
      <c r="E11" s="576"/>
      <c r="G11" s="254"/>
      <c r="H11" s="255"/>
      <c r="I11" s="253"/>
      <c r="J11" s="253"/>
      <c r="K11" s="253"/>
      <c r="L11" s="253"/>
      <c r="P11" s="256" t="s">
        <v>506</v>
      </c>
      <c r="Q11" s="256" t="s">
        <v>778</v>
      </c>
      <c r="R11" s="256" t="s">
        <v>795</v>
      </c>
      <c r="S11" s="256" t="s">
        <v>1092</v>
      </c>
      <c r="T11" s="692" t="s">
        <v>1090</v>
      </c>
      <c r="V11" s="256" t="s">
        <v>801</v>
      </c>
      <c r="W11" s="256">
        <v>40</v>
      </c>
      <c r="X11" s="256"/>
      <c r="Y11" s="256">
        <v>15</v>
      </c>
      <c r="AA11" s="256" t="s">
        <v>802</v>
      </c>
    </row>
    <row r="12" spans="1:27" ht="30" customHeight="1" x14ac:dyDescent="0.2">
      <c r="A12" s="257" t="s">
        <v>803</v>
      </c>
      <c r="B12" s="490"/>
      <c r="C12"/>
      <c r="D12"/>
      <c r="E12" s="576"/>
      <c r="G12" s="254" t="b">
        <f>$B$11="NO"</f>
        <v>0</v>
      </c>
      <c r="H12" s="255"/>
      <c r="I12" s="253"/>
      <c r="J12" s="253"/>
      <c r="K12" s="253"/>
      <c r="L12" s="253"/>
      <c r="P12" s="256" t="s">
        <v>505</v>
      </c>
      <c r="Q12" s="256" t="s">
        <v>778</v>
      </c>
      <c r="R12" s="256" t="s">
        <v>1091</v>
      </c>
      <c r="S12" s="256" t="s">
        <v>1093</v>
      </c>
      <c r="T12" s="692" t="s">
        <v>1090</v>
      </c>
      <c r="V12" s="256" t="s">
        <v>804</v>
      </c>
      <c r="W12" s="256">
        <v>5</v>
      </c>
      <c r="X12" s="256"/>
      <c r="Y12" s="256">
        <v>15</v>
      </c>
      <c r="AA12" s="256" t="s">
        <v>805</v>
      </c>
    </row>
    <row r="13" spans="1:27" ht="60" customHeight="1" x14ac:dyDescent="0.2">
      <c r="A13" s="258" t="s">
        <v>806</v>
      </c>
      <c r="B13" s="491"/>
      <c r="C13"/>
      <c r="D13"/>
      <c r="E13" s="576"/>
      <c r="G13" s="254"/>
      <c r="H13" s="255"/>
      <c r="I13" s="253"/>
      <c r="J13" s="253"/>
      <c r="K13" s="253"/>
      <c r="L13" s="253"/>
      <c r="P13" s="256" t="s">
        <v>514</v>
      </c>
      <c r="Q13" s="256" t="s">
        <v>778</v>
      </c>
      <c r="R13" s="256" t="s">
        <v>1091</v>
      </c>
      <c r="S13" s="256" t="s">
        <v>1093</v>
      </c>
      <c r="T13" s="692" t="s">
        <v>1090</v>
      </c>
      <c r="V13" s="256" t="s">
        <v>807</v>
      </c>
      <c r="W13" s="256">
        <v>5</v>
      </c>
      <c r="X13" s="256"/>
      <c r="Y13" s="256"/>
      <c r="AA13" s="256" t="s">
        <v>808</v>
      </c>
    </row>
    <row r="14" spans="1:27" x14ac:dyDescent="0.2">
      <c r="A14" s="312"/>
      <c r="E14" s="576"/>
      <c r="G14" s="254"/>
      <c r="H14" s="255"/>
      <c r="I14" s="253"/>
      <c r="J14" s="253"/>
      <c r="K14" s="253"/>
      <c r="L14" s="253"/>
      <c r="P14" s="256" t="s">
        <v>516</v>
      </c>
      <c r="Q14" s="256" t="s">
        <v>377</v>
      </c>
      <c r="R14" s="256" t="s">
        <v>772</v>
      </c>
      <c r="S14" s="256" t="s">
        <v>773</v>
      </c>
      <c r="T14" s="256" t="s">
        <v>774</v>
      </c>
      <c r="V14" s="256" t="s">
        <v>809</v>
      </c>
      <c r="W14" s="256">
        <v>0</v>
      </c>
      <c r="X14" s="256"/>
      <c r="Y14" s="256"/>
      <c r="AA14" s="256" t="s">
        <v>810</v>
      </c>
    </row>
    <row r="15" spans="1:27" ht="15" x14ac:dyDescent="0.25">
      <c r="A15" s="963" t="s">
        <v>811</v>
      </c>
      <c r="B15" s="964"/>
      <c r="C15" s="964"/>
      <c r="D15" s="964"/>
      <c r="E15" s="576"/>
      <c r="G15" s="254"/>
      <c r="H15" s="255"/>
      <c r="I15" s="253"/>
      <c r="J15" s="253"/>
      <c r="K15" s="253"/>
      <c r="L15" s="253"/>
      <c r="P15" s="256" t="s">
        <v>519</v>
      </c>
      <c r="Q15" s="256" t="s">
        <v>778</v>
      </c>
      <c r="R15" s="256" t="s">
        <v>1091</v>
      </c>
      <c r="S15" s="256" t="s">
        <v>1093</v>
      </c>
      <c r="T15" s="692" t="s">
        <v>1090</v>
      </c>
      <c r="AA15" s="256" t="s">
        <v>812</v>
      </c>
    </row>
    <row r="16" spans="1:27" ht="15" customHeight="1" x14ac:dyDescent="0.2">
      <c r="A16" s="952" t="s">
        <v>813</v>
      </c>
      <c r="B16" s="953"/>
      <c r="C16" s="953"/>
      <c r="D16" s="953"/>
      <c r="E16" s="576"/>
      <c r="G16" s="254"/>
      <c r="H16" s="255"/>
      <c r="I16" s="253"/>
      <c r="J16" s="253" t="s">
        <v>814</v>
      </c>
      <c r="K16" s="253" t="s">
        <v>815</v>
      </c>
      <c r="L16" s="253" t="s">
        <v>816</v>
      </c>
      <c r="P16" s="256" t="s">
        <v>536</v>
      </c>
      <c r="Q16" s="256" t="s">
        <v>778</v>
      </c>
      <c r="R16" s="256" t="s">
        <v>1091</v>
      </c>
      <c r="S16" s="256" t="s">
        <v>1093</v>
      </c>
      <c r="T16" s="692" t="s">
        <v>1090</v>
      </c>
      <c r="AA16" s="256" t="s">
        <v>817</v>
      </c>
    </row>
    <row r="17" spans="1:27" x14ac:dyDescent="0.2">
      <c r="A17" s="257" t="s">
        <v>818</v>
      </c>
      <c r="B17" s="958">
        <f>$I$17</f>
        <v>0</v>
      </c>
      <c r="C17" s="912"/>
      <c r="D17" s="912"/>
      <c r="E17" s="576"/>
      <c r="G17" s="254"/>
      <c r="H17" s="255"/>
      <c r="I17" s="253">
        <f>'PI-1-PowerEngine'!$B$50</f>
        <v>0</v>
      </c>
      <c r="J17" s="253" t="b">
        <f>COUNTIF($P$3:$P$31,$I$17)&gt;0</f>
        <v>0</v>
      </c>
      <c r="K17" s="253" t="b">
        <f>I17="EL PASO"</f>
        <v>0</v>
      </c>
      <c r="L17" s="253" t="b">
        <f>COUNTIF($N$2:$N$9,$I$17)&gt;0</f>
        <v>0</v>
      </c>
      <c r="P17" s="256" t="s">
        <v>549</v>
      </c>
      <c r="Q17" s="256" t="s">
        <v>377</v>
      </c>
      <c r="R17" s="256" t="s">
        <v>772</v>
      </c>
      <c r="S17" s="256" t="s">
        <v>773</v>
      </c>
      <c r="T17" s="256" t="s">
        <v>819</v>
      </c>
      <c r="AA17" s="256" t="s">
        <v>820</v>
      </c>
    </row>
    <row r="18" spans="1:27" ht="30" customHeight="1" x14ac:dyDescent="0.2">
      <c r="A18" s="257" t="str">
        <f>IF($I$17="","Select a county on PI-1-PowerEngine sheet.",IF($J$17=FALSE,"N/A",IF($K$17,"Is this facility located within the portion of this county that is designated nonattainment for PM10?","Is this facility located within the portion of this county that is designated nonattainment?")))</f>
        <v>N/A</v>
      </c>
      <c r="B18" s="956"/>
      <c r="C18" s="957"/>
      <c r="D18" s="957"/>
      <c r="E18" s="576"/>
      <c r="G18" s="254" t="b">
        <f>AND($K$17=FALSE,$L$17=FALSE)</f>
        <v>1</v>
      </c>
      <c r="H18" s="255"/>
      <c r="I18" s="253"/>
      <c r="J18" s="253"/>
      <c r="K18" s="253"/>
      <c r="L18" s="253"/>
      <c r="P18" s="256" t="s">
        <v>552</v>
      </c>
      <c r="Q18" s="256" t="s">
        <v>377</v>
      </c>
      <c r="R18" s="256" t="s">
        <v>772</v>
      </c>
      <c r="S18" s="256" t="s">
        <v>773</v>
      </c>
      <c r="T18" s="256" t="s">
        <v>819</v>
      </c>
      <c r="AA18" s="256" t="s">
        <v>821</v>
      </c>
    </row>
    <row r="19" spans="1:27" ht="30" customHeight="1" x14ac:dyDescent="0.2">
      <c r="A19" s="258" t="s">
        <v>822</v>
      </c>
      <c r="B19" s="975" t="str">
        <f>IF($J$17=FALSE,"This project will be located in an area currently designated attainment or unclassified for all criteria pollutants and precursors. Nonattainment NSR is not required.",IF($K$17,IF($B$18="YES","This project will be located in an area that is designated marginal nonattainment for ozone as of December 30, 2021 and moderate nonattainment for PM10 as of November 6, 1991.","This project will be located in an area that is designated marginal nonattainment for ozone as of December 30, 2021."),IF(OR(AND($G$18=FALSE,$B$18="YES"),$G$18),"This project will be located in an area that is designated "&amp;INDEX($S$3:$S$31,MATCH($I$17,$P$3:$P$31,0),1)&amp;" as of "&amp;INDEX($T$3:$T$31,MATCH($I$17,$P$3:$P$31,0),1)&amp;".","This project will be located in an area currently designated attainment or unclassified for all criteria pollutants and precursors. Nonattainment NSR is not required.")))</f>
        <v>This project will be located in an area currently designated attainment or unclassified for all criteria pollutants and precursors. Nonattainment NSR is not required.</v>
      </c>
      <c r="C19" s="889"/>
      <c r="D19" s="889"/>
      <c r="E19" s="576"/>
      <c r="G19" s="254"/>
      <c r="H19" s="255"/>
      <c r="I19" s="253"/>
      <c r="J19" s="253"/>
      <c r="K19" s="253"/>
      <c r="L19" s="253"/>
      <c r="P19" s="256" t="s">
        <v>561</v>
      </c>
      <c r="Q19" s="256" t="s">
        <v>778</v>
      </c>
      <c r="R19" s="256" t="s">
        <v>1091</v>
      </c>
      <c r="S19" s="256" t="s">
        <v>1093</v>
      </c>
      <c r="T19" s="692" t="s">
        <v>1090</v>
      </c>
      <c r="AA19" s="256" t="s">
        <v>823</v>
      </c>
    </row>
    <row r="20" spans="1:27" ht="30" customHeight="1" x14ac:dyDescent="0.2">
      <c r="A20" s="952" t="s">
        <v>824</v>
      </c>
      <c r="B20" s="953"/>
      <c r="C20" s="953"/>
      <c r="D20" s="953"/>
      <c r="E20" s="576"/>
      <c r="G20" s="254" t="b">
        <f>COUNTIF($B$19,"*UNCLASSIFIED*")&gt;0</f>
        <v>1</v>
      </c>
      <c r="H20" s="255"/>
      <c r="I20" s="253"/>
      <c r="J20" s="253"/>
      <c r="K20" s="253"/>
      <c r="L20" s="253"/>
      <c r="P20" s="256" t="s">
        <v>564</v>
      </c>
      <c r="Q20" s="256" t="s">
        <v>778</v>
      </c>
      <c r="R20" s="256" t="s">
        <v>1091</v>
      </c>
      <c r="S20" s="256" t="s">
        <v>1093</v>
      </c>
      <c r="T20" s="692" t="s">
        <v>1090</v>
      </c>
      <c r="AA20" s="256" t="s">
        <v>825</v>
      </c>
    </row>
    <row r="21" spans="1:27" ht="45" customHeight="1" x14ac:dyDescent="0.2">
      <c r="A21" s="486" t="s">
        <v>826</v>
      </c>
      <c r="B21" s="63" t="s">
        <v>827</v>
      </c>
      <c r="C21" s="63" t="s">
        <v>828</v>
      </c>
      <c r="D21" s="239" t="s">
        <v>829</v>
      </c>
      <c r="E21" s="576"/>
      <c r="G21" s="254" t="b">
        <f>$G$20</f>
        <v>1</v>
      </c>
      <c r="H21" s="255"/>
      <c r="I21" s="253"/>
      <c r="J21" s="253"/>
      <c r="K21" s="253"/>
      <c r="L21" s="253"/>
      <c r="P21" s="256" t="s">
        <v>581</v>
      </c>
      <c r="Q21" s="256" t="s">
        <v>778</v>
      </c>
      <c r="R21" s="256" t="s">
        <v>1091</v>
      </c>
      <c r="S21" s="256" t="s">
        <v>1093</v>
      </c>
      <c r="T21" s="692" t="s">
        <v>1090</v>
      </c>
      <c r="AA21" s="256" t="s">
        <v>830</v>
      </c>
    </row>
    <row r="22" spans="1:27" ht="20.25" customHeight="1" x14ac:dyDescent="0.2">
      <c r="A22" s="257" t="s">
        <v>831</v>
      </c>
      <c r="B22" s="279">
        <f>Baseline!$C$6</f>
        <v>0</v>
      </c>
      <c r="C22" s="99">
        <f>IFERROR(IF($K$17,100,INDEX($W$3:$W$14,MATCH("MAJOR SOURCE - "&amp;INDEX($R$3:$R$31,MATCH($I$17,$P$3:$P$31,0),1),$V$3:$V$14,0),1)),0)</f>
        <v>0</v>
      </c>
      <c r="D22" s="469" t="str">
        <f>IF($B22&gt;=$C22,"Yes","No")</f>
        <v>Yes</v>
      </c>
      <c r="E22" s="576"/>
      <c r="G22" s="254" t="b">
        <f>IF($J$17,IF($K$17=FALSE,INDEX($Q$3:$Q$31,MATCH($I$17,$P$3:$P$31,0))&lt;&gt;"ozone",FALSE),NOT(FALSE))</f>
        <v>1</v>
      </c>
      <c r="H22" s="255"/>
      <c r="I22" s="253">
        <f>IF($G22=FALSE,IF($D22="yes","major","minor"),0)</f>
        <v>0</v>
      </c>
      <c r="J22" s="253"/>
      <c r="K22" s="253"/>
      <c r="L22" s="253"/>
      <c r="P22" s="256" t="s">
        <v>605</v>
      </c>
      <c r="Q22" s="256" t="s">
        <v>778</v>
      </c>
      <c r="R22" s="256" t="s">
        <v>1091</v>
      </c>
      <c r="S22" s="256" t="s">
        <v>1093</v>
      </c>
      <c r="T22" s="692" t="s">
        <v>1090</v>
      </c>
      <c r="AA22" s="256" t="s">
        <v>832</v>
      </c>
    </row>
    <row r="23" spans="1:27" ht="20.25" customHeight="1" x14ac:dyDescent="0.2">
      <c r="A23" s="257" t="s">
        <v>833</v>
      </c>
      <c r="B23" s="279">
        <f>Baseline!$G$6</f>
        <v>0</v>
      </c>
      <c r="C23" s="99">
        <f>$C$22</f>
        <v>0</v>
      </c>
      <c r="D23" s="469" t="str">
        <f t="shared" ref="D23:D25" si="0">IF($B23&gt;=$C23,"Yes","No")</f>
        <v>Yes</v>
      </c>
      <c r="E23" s="576"/>
      <c r="G23" s="254" t="b">
        <f>$G$22</f>
        <v>1</v>
      </c>
      <c r="H23" s="255"/>
      <c r="I23" s="253">
        <f>IF($G23=FALSE,IF($D23="yes","major","minor"),0)</f>
        <v>0</v>
      </c>
      <c r="J23" s="253"/>
      <c r="K23" s="253"/>
      <c r="L23" s="253"/>
      <c r="P23" s="256" t="s">
        <v>95</v>
      </c>
      <c r="Q23" s="256" t="s">
        <v>377</v>
      </c>
      <c r="R23" s="256" t="s">
        <v>772</v>
      </c>
      <c r="S23" s="256" t="s">
        <v>773</v>
      </c>
      <c r="T23" s="256" t="s">
        <v>819</v>
      </c>
      <c r="AA23" s="256" t="s">
        <v>834</v>
      </c>
    </row>
    <row r="24" spans="1:27" ht="20.25" customHeight="1" x14ac:dyDescent="0.2">
      <c r="A24" s="257" t="s">
        <v>835</v>
      </c>
      <c r="B24" s="279">
        <f>Baseline!$E$6</f>
        <v>0</v>
      </c>
      <c r="C24" s="99">
        <f>IFERROR(INDEX($Y$3:$Y$14,MATCH("MAJOR SOURCE - "&amp;INDEX($R$3:$R$31,MATCH($I$17,$P$3:$P$31,0),1),$V$3:$V$14,0),1),0)</f>
        <v>0</v>
      </c>
      <c r="D24" s="469" t="str">
        <f t="shared" si="0"/>
        <v>Yes</v>
      </c>
      <c r="E24" s="576"/>
      <c r="G24" s="254" t="b">
        <f>IF($K$17=FALSE,TRUE,$B$18="NO")</f>
        <v>1</v>
      </c>
      <c r="H24" s="255"/>
      <c r="I24" s="253">
        <f>IF($G24=FALSE,IF($D24="yes","major","minor"),0)</f>
        <v>0</v>
      </c>
      <c r="J24" s="253"/>
      <c r="K24" s="253"/>
      <c r="L24" s="253"/>
      <c r="P24" s="256" t="s">
        <v>617</v>
      </c>
      <c r="Q24" s="256" t="s">
        <v>377</v>
      </c>
      <c r="R24" s="256" t="s">
        <v>772</v>
      </c>
      <c r="S24" s="256" t="s">
        <v>773</v>
      </c>
      <c r="T24" s="256" t="s">
        <v>774</v>
      </c>
      <c r="AA24" s="256" t="s">
        <v>836</v>
      </c>
    </row>
    <row r="25" spans="1:27" ht="20.25" customHeight="1" x14ac:dyDescent="0.2">
      <c r="A25" s="492" t="s">
        <v>837</v>
      </c>
      <c r="B25" s="265">
        <f>Baseline!$H$6</f>
        <v>0</v>
      </c>
      <c r="C25" s="252">
        <f>IFERROR(INDEX($X$3:$X$14,MATCH("MAJOR SOURCE - "&amp;INDEX($R$3:$R$31,MATCH($I$17,$P$3:$P$31,0),1),$V$3:$V$14,0),1),0)</f>
        <v>0</v>
      </c>
      <c r="D25" s="263" t="str">
        <f t="shared" si="0"/>
        <v>Yes</v>
      </c>
      <c r="E25" s="576"/>
      <c r="G25" s="254" t="b">
        <f>IF($L$17=FALSE,TRUE,$B$18="NO")</f>
        <v>1</v>
      </c>
      <c r="H25" s="255"/>
      <c r="I25" s="253">
        <f>IF($G25=FALSE,IF($D25="yes","major","minor"),0)</f>
        <v>0</v>
      </c>
      <c r="J25" s="253"/>
      <c r="K25" s="253"/>
      <c r="L25" s="253"/>
      <c r="P25" s="256" t="s">
        <v>618</v>
      </c>
      <c r="Q25" s="256" t="s">
        <v>778</v>
      </c>
      <c r="R25" s="256" t="s">
        <v>1091</v>
      </c>
      <c r="S25" s="256" t="s">
        <v>1093</v>
      </c>
      <c r="T25" s="692" t="s">
        <v>1090</v>
      </c>
      <c r="AA25" s="256" t="s">
        <v>838</v>
      </c>
    </row>
    <row r="26" spans="1:27" ht="20.100000000000001" customHeight="1" x14ac:dyDescent="0.2">
      <c r="A26" s="888" t="str">
        <f>"Step 2 Determination: "&amp;IF($I$26&lt;&gt;"MIX",IF($I$26="ALL MINOR","The site is currently a minor source for all evaluated criteria pollutants and precursors.","This site is currently a major source for all evaluated criteria pollutants and precursors."),"This site is currently a minor source for some evaluated criteria pollutants and precursors and a major source for other evaluated criteria pollutants and precursors.")</f>
        <v>Step 2 Determination: The site is currently a minor source for all evaluated criteria pollutants and precursors.</v>
      </c>
      <c r="B26" s="889"/>
      <c r="C26" s="889"/>
      <c r="D26" s="889"/>
      <c r="E26" s="576"/>
      <c r="G26" s="254" t="b">
        <f>$G$20</f>
        <v>1</v>
      </c>
      <c r="H26" s="255"/>
      <c r="I26" s="253" t="str">
        <f>IF(COUNTIF($G$22:$G$25,FALSE)=COUNTIF($I$22:$I$25,"*MINOR*"),"ALL MINOR",IF(COUNTIF($G$22:$G$25,FALSE)=COUNTIF($I$22:$I$25,"*MAJOR*"),"ALL MAJOR",IF(COUNTIF($I$22:$I$25,"*MAJOR*")+COUNTIF($I$22:$I$25,"*MINOR*")&gt;0,"MIX",FALSE)))</f>
        <v>ALL MINOR</v>
      </c>
      <c r="J26" s="253"/>
      <c r="K26" s="253"/>
      <c r="L26" s="253"/>
      <c r="P26" s="256" t="s">
        <v>633</v>
      </c>
      <c r="Q26" s="256" t="s">
        <v>778</v>
      </c>
      <c r="R26" s="256" t="s">
        <v>1091</v>
      </c>
      <c r="S26" s="256" t="s">
        <v>1093</v>
      </c>
      <c r="T26" s="692" t="s">
        <v>1090</v>
      </c>
      <c r="AA26" s="256" t="s">
        <v>839</v>
      </c>
    </row>
    <row r="27" spans="1:27" ht="45" customHeight="1" x14ac:dyDescent="0.2">
      <c r="A27" s="952" t="str">
        <f>"C. Step 3: "&amp;IF($I$26&lt;&gt;"MIX",IF($I$26="ALL MINOR","Determine if the project emissions increase is a major source by itself. Compare the project emissions increase to the major source threshold corresponding to the area's nonattainment designation for each criteria pollutant or precursor.","Determine if netting is required. Compare the project emissions increase for each criteria pollutant or precursor to the associated netting threshold corresponding to the area's nonattainment designation."),"Determine if netting is required for the pollutants and precursors for which the site is major by comparing the project emissions increase to the associated netting threshold. "&amp;"For the remaining pollutants, determine if the project emissions increase is a major source by itself by comparing the project emissions increase to the associated major source threshold.")</f>
        <v>C. Step 3: Determine if the project emissions increase is a major source by itself. Compare the project emissions increase to the major source threshold corresponding to the area's nonattainment designation for each criteria pollutant or precursor.</v>
      </c>
      <c r="B27" s="953"/>
      <c r="C27" s="953"/>
      <c r="D27" s="953"/>
      <c r="E27" s="576"/>
      <c r="G27" s="254" t="b">
        <f>$G$20</f>
        <v>1</v>
      </c>
      <c r="H27" s="255"/>
      <c r="I27" s="253"/>
      <c r="J27" s="253"/>
      <c r="K27" s="253"/>
      <c r="L27" s="253"/>
      <c r="P27" s="256" t="s">
        <v>635</v>
      </c>
      <c r="Q27" s="256" t="s">
        <v>377</v>
      </c>
      <c r="R27" s="256" t="s">
        <v>772</v>
      </c>
      <c r="S27" s="256" t="s">
        <v>773</v>
      </c>
      <c r="T27" s="256" t="s">
        <v>774</v>
      </c>
      <c r="AA27" s="256" t="s">
        <v>840</v>
      </c>
    </row>
    <row r="28" spans="1:27" ht="45" customHeight="1" x14ac:dyDescent="0.2">
      <c r="A28" s="486" t="s">
        <v>826</v>
      </c>
      <c r="B28" s="63" t="s">
        <v>841</v>
      </c>
      <c r="C28" s="63" t="s">
        <v>842</v>
      </c>
      <c r="D28" s="239" t="s">
        <v>843</v>
      </c>
      <c r="E28" s="576"/>
      <c r="G28" s="254" t="b">
        <f>G20</f>
        <v>1</v>
      </c>
      <c r="H28" s="255"/>
      <c r="I28" s="253"/>
      <c r="J28" s="253"/>
      <c r="K28" s="253"/>
      <c r="L28" s="253"/>
      <c r="P28" s="256" t="s">
        <v>654</v>
      </c>
      <c r="Q28" s="256" t="s">
        <v>778</v>
      </c>
      <c r="R28" s="256" t="s">
        <v>1091</v>
      </c>
      <c r="S28" s="256" t="s">
        <v>1093</v>
      </c>
      <c r="T28" s="692" t="s">
        <v>1090</v>
      </c>
      <c r="AA28" s="256" t="s">
        <v>844</v>
      </c>
    </row>
    <row r="29" spans="1:27" ht="20.25" customHeight="1" x14ac:dyDescent="0.2">
      <c r="A29" s="257" t="s">
        <v>831</v>
      </c>
      <c r="B29" s="279">
        <f>IF(OR('ENGINE Summary'!C57=0,'Project Summary'!E48-Baseline!C19&lt;0),0,'Project Summary'!E48-Baseline!C19)</f>
        <v>0</v>
      </c>
      <c r="C29" s="99" t="str">
        <f>IF($G29,"N/A",$J29&amp;" ("&amp;IF(COUNTIF($I29,"*NET*")&gt;0,"netting threshold","major source threshold")&amp;")")</f>
        <v>N/A</v>
      </c>
      <c r="D29" s="469" t="str">
        <f>IF($B29&gt;=$J29,"Yes","No")</f>
        <v>No</v>
      </c>
      <c r="E29" s="576"/>
      <c r="G29" s="254" t="b">
        <f>$I22=0</f>
        <v>1</v>
      </c>
      <c r="H29" s="255"/>
      <c r="I29" s="253" t="str">
        <f>IF($I22="MAJOR","netting threshold - ","major source - ")</f>
        <v xml:space="preserve">major source - </v>
      </c>
      <c r="J29" s="253" t="str">
        <f>IFERROR(INDEX($W$3:$W$14,MATCH($I29&amp;IF($K$17,"marginal",INDEX($R$3:$R$31,MATCH($I$17,$P$3:$P$31,0),1)),$V$3:$V$14,0),1),"N/A")</f>
        <v>N/A</v>
      </c>
      <c r="K29" s="253">
        <f>IF($G29=FALSE,IF($D29="YES",1,0),0)</f>
        <v>0</v>
      </c>
      <c r="L29" s="253"/>
      <c r="P29" s="256" t="s">
        <v>659</v>
      </c>
      <c r="Q29" s="256" t="s">
        <v>377</v>
      </c>
      <c r="R29" s="256" t="s">
        <v>772</v>
      </c>
      <c r="S29" s="256" t="s">
        <v>773</v>
      </c>
      <c r="T29" s="256" t="s">
        <v>774</v>
      </c>
    </row>
    <row r="30" spans="1:27" ht="20.25" customHeight="1" x14ac:dyDescent="0.2">
      <c r="A30" s="257" t="s">
        <v>833</v>
      </c>
      <c r="B30" s="279">
        <f>IF(OR('ENGINE Summary'!H57+Tanks!B164=0,'Project Summary'!E57+'Project Summary'!E53-Baseline!G19&lt;0),0,'Project Summary'!E57+'Project Summary'!E53-Baseline!G19)</f>
        <v>0</v>
      </c>
      <c r="C30" s="99" t="str">
        <f>IF($G30,"N/A",$J30&amp;" ("&amp;IF(COUNTIF($I30,"*NET*")&gt;0,"netting threshold","major source threshold")&amp;")")</f>
        <v>N/A</v>
      </c>
      <c r="D30" s="469" t="str">
        <f>IF($B30&gt;=$J30,"Yes","No")</f>
        <v>No</v>
      </c>
      <c r="E30" s="576"/>
      <c r="G30" s="254" t="b">
        <f t="shared" ref="G30:G32" si="1">$I23=0</f>
        <v>1</v>
      </c>
      <c r="H30" s="255"/>
      <c r="I30" s="253" t="str">
        <f>IF($I23="MAJOR","netting threshold - ","major source - ")</f>
        <v xml:space="preserve">major source - </v>
      </c>
      <c r="J30" s="253" t="str">
        <f>IFERROR(INDEX($W$3:$W$14,MATCH($I30&amp;IF($K$17,"marginal",INDEX($R$3:$R$31,MATCH($I$17,$P$3:$P$31,0),1)),$V$3:$V$14,0),1),"N/A")</f>
        <v>N/A</v>
      </c>
      <c r="K30" s="253">
        <f>IF($G30=FALSE,IF($D30="YES",1,0),0)</f>
        <v>0</v>
      </c>
      <c r="L30" s="253"/>
      <c r="P30" s="256" t="s">
        <v>671</v>
      </c>
      <c r="Q30" s="256" t="s">
        <v>778</v>
      </c>
      <c r="R30" s="256" t="s">
        <v>1091</v>
      </c>
      <c r="S30" s="256" t="s">
        <v>1093</v>
      </c>
      <c r="T30" s="692" t="s">
        <v>1090</v>
      </c>
    </row>
    <row r="31" spans="1:27" ht="20.25" customHeight="1" x14ac:dyDescent="0.2">
      <c r="A31" s="257" t="s">
        <v>835</v>
      </c>
      <c r="B31" s="279">
        <f>IF(OR('ENGINE Summary'!F57=0,'Project Summary'!E51-Baseline!E19&lt;0),0,'Project Summary'!E51-Baseline!E19)</f>
        <v>0</v>
      </c>
      <c r="C31" s="99" t="str">
        <f>IF($G31,"N/A",$J31&amp;" ("&amp;IF(COUNTIF($I31,"*NET*")&gt;0,"netting threshold","major source threshold")&amp;")")</f>
        <v>N/A</v>
      </c>
      <c r="D31" s="469" t="str">
        <f>IF($B31&gt;=$J31,"Yes","No")</f>
        <v>No</v>
      </c>
      <c r="E31" s="576"/>
      <c r="G31" s="254" t="b">
        <f t="shared" si="1"/>
        <v>1</v>
      </c>
      <c r="H31" s="255"/>
      <c r="I31" s="253" t="str">
        <f>IF($I24="MAJOR","netting threshold - ","major source - ")</f>
        <v xml:space="preserve">major source - </v>
      </c>
      <c r="J31" s="253" t="str">
        <f>IFERROR(INDEX($Y$3:$Y$14,MATCH($I31&amp;IF($K$17,IF($B$18="YES","moderate","N/A"),INDEX($R$3:$R$31,MATCH($I$17,$P$3:$P$31,0),1)),$V$3:$V$14,0),1),"N/A")</f>
        <v>N/A</v>
      </c>
      <c r="K31" s="253">
        <f>IF($G31=FALSE,IF($D31="YES",1,0),0)</f>
        <v>0</v>
      </c>
      <c r="L31" s="253"/>
      <c r="P31" s="256" t="s">
        <v>683</v>
      </c>
      <c r="Q31" s="256" t="s">
        <v>778</v>
      </c>
      <c r="R31" s="256" t="s">
        <v>1091</v>
      </c>
      <c r="S31" s="256" t="s">
        <v>1093</v>
      </c>
      <c r="T31" s="692" t="s">
        <v>1090</v>
      </c>
    </row>
    <row r="32" spans="1:27" ht="20.25" customHeight="1" x14ac:dyDescent="0.2">
      <c r="A32" s="492" t="s">
        <v>837</v>
      </c>
      <c r="B32" s="265">
        <f>IF(OR('ENGINE Summary'!I57=0,'Project Summary'!E54-Baseline!H19&lt;0),0,'Project Summary'!E54-Baseline!H19)</f>
        <v>0</v>
      </c>
      <c r="C32" s="252" t="str">
        <f>IF($G32,"N/A",$J32&amp;" ("&amp;IF(COUNTIF($I32,"*NET*")&gt;0,"netting threshold","major source threshold")&amp;")")</f>
        <v>N/A</v>
      </c>
      <c r="D32" s="263" t="str">
        <f>IF($B32&gt;=$J32,"Yes","No")</f>
        <v>No</v>
      </c>
      <c r="E32" s="576"/>
      <c r="G32" s="254" t="b">
        <f t="shared" si="1"/>
        <v>1</v>
      </c>
      <c r="H32" s="255"/>
      <c r="I32" s="253" t="str">
        <f>IF($I25="MAJOR","netting threshold - ","major source - ")</f>
        <v xml:space="preserve">major source - </v>
      </c>
      <c r="J32" s="253" t="str">
        <f>IFERROR(INDEX($X$3:$X$14,MATCH($I32&amp;IF($L$17,IF($B$18="YES","nonattainment","N/A"),INDEX($R$3:$R$31,MATCH($I$17,$P$3:$P$31,0),1)),$V$3:$V$14,0),1),"N/A")</f>
        <v>N/A</v>
      </c>
      <c r="K32" s="253">
        <f>IF($G32=FALSE,IF($D32="YES",1,0),0)</f>
        <v>0</v>
      </c>
      <c r="L32" s="253"/>
    </row>
    <row r="33" spans="1:12" ht="30" customHeight="1" x14ac:dyDescent="0.2">
      <c r="A33" s="888" t="str">
        <f>"Step 3 Determination: "&amp;IF($K$33,"At least one pollutant in this project is at or above the threshold. Netting would be required. This project does not qualify for this RAP.","The project emissions increase for each evaluated pollutant and/or precursor is below the threshold. Nonattainment NSR is not required. Continue to the next section.")</f>
        <v>Step 3 Determination: The project emissions increase for each evaluated pollutant and/or precursor is below the threshold. Nonattainment NSR is not required. Continue to the next section.</v>
      </c>
      <c r="B33" s="889"/>
      <c r="C33" s="889"/>
      <c r="D33" s="889"/>
      <c r="E33" s="576"/>
      <c r="G33" s="254" t="b">
        <f>G20</f>
        <v>1</v>
      </c>
      <c r="H33" s="255" t="b">
        <f>$K$33</f>
        <v>0</v>
      </c>
      <c r="I33" s="253"/>
      <c r="J33" s="253"/>
      <c r="K33" s="253" t="b">
        <f>SUM(K29:K32)&gt;0</f>
        <v>0</v>
      </c>
      <c r="L33" s="253"/>
    </row>
    <row r="34" spans="1:12" x14ac:dyDescent="0.2">
      <c r="A34" s="312"/>
      <c r="E34" s="576"/>
      <c r="G34" s="254"/>
      <c r="H34" s="255"/>
      <c r="I34" s="253"/>
      <c r="J34" s="253"/>
      <c r="K34" s="253"/>
      <c r="L34" s="253"/>
    </row>
    <row r="35" spans="1:12" ht="15" x14ac:dyDescent="0.25">
      <c r="A35" s="963" t="s">
        <v>845</v>
      </c>
      <c r="B35" s="964"/>
      <c r="C35" s="964"/>
      <c r="D35" s="964"/>
      <c r="E35" s="576"/>
      <c r="G35" s="254"/>
      <c r="H35" s="255"/>
      <c r="I35" s="253"/>
      <c r="J35" s="253"/>
      <c r="K35" s="253"/>
      <c r="L35" s="253"/>
    </row>
    <row r="36" spans="1:12" ht="15" x14ac:dyDescent="0.2">
      <c r="A36" s="954" t="s">
        <v>846</v>
      </c>
      <c r="B36" s="955"/>
      <c r="C36" s="955"/>
      <c r="D36" s="895"/>
      <c r="E36" s="576"/>
      <c r="G36" s="254"/>
      <c r="H36" s="255"/>
      <c r="I36" s="253"/>
      <c r="J36" s="253"/>
      <c r="K36" s="253"/>
      <c r="L36" s="253"/>
    </row>
    <row r="37" spans="1:12" ht="42.75" customHeight="1" x14ac:dyDescent="0.2">
      <c r="A37" s="257" t="s">
        <v>847</v>
      </c>
      <c r="B37" s="956"/>
      <c r="C37" s="957"/>
      <c r="D37" s="957"/>
      <c r="E37" s="576"/>
      <c r="G37" s="254"/>
      <c r="H37" s="255"/>
      <c r="I37" s="253"/>
      <c r="J37" s="253"/>
      <c r="K37" s="253"/>
      <c r="L37" s="253"/>
    </row>
    <row r="38" spans="1:12" ht="30" customHeight="1" x14ac:dyDescent="0.2">
      <c r="A38" s="257" t="s">
        <v>848</v>
      </c>
      <c r="B38" s="956"/>
      <c r="C38" s="957"/>
      <c r="D38" s="957"/>
      <c r="E38" s="576"/>
      <c r="G38" s="254" t="b">
        <f>$B$37&lt;&gt;"Other/Not Listed"</f>
        <v>1</v>
      </c>
      <c r="H38" s="255"/>
      <c r="I38" s="253"/>
      <c r="J38" s="253"/>
      <c r="K38" s="253"/>
      <c r="L38" s="253"/>
    </row>
    <row r="39" spans="1:12" ht="45" customHeight="1" x14ac:dyDescent="0.2">
      <c r="A39" s="257" t="s">
        <v>822</v>
      </c>
      <c r="B39" s="958" t="str">
        <f t="shared" ref="B39" si="2">IF(OR($B$37="",AND($B$37="OTHER/NOT LISTED",$B$38="")),"Select and/or describe a source type above.",IF($B$37="OTHER/NOT LISTED","This is not a named source, and the PSD major source threshold is 250 tpy of any one pollutant."&amp;" Do not include fugitive emissions in the current sitewide PTE, unless this is a stationary source category which, as of August 7, 1980, is being regulated under NSPS or NESHAP.","This is a named source and the PSD major source threshold is 100 tpy of any one pollutant. Include fugitive emissions in the current sitewide PTE."))</f>
        <v>Select and/or describe a source type above.</v>
      </c>
      <c r="C39" s="912"/>
      <c r="D39" s="912"/>
      <c r="E39" s="576"/>
      <c r="G39" s="254"/>
      <c r="H39" s="255"/>
      <c r="I39" s="253"/>
      <c r="J39" s="253"/>
      <c r="K39" s="253"/>
      <c r="L39" s="253"/>
    </row>
    <row r="40" spans="1:12" ht="30" customHeight="1" x14ac:dyDescent="0.2">
      <c r="A40" s="948" t="s">
        <v>849</v>
      </c>
      <c r="B40" s="949"/>
      <c r="C40" s="949"/>
      <c r="D40" s="950"/>
      <c r="E40" s="576"/>
      <c r="G40" s="254"/>
      <c r="H40" s="255"/>
      <c r="I40" s="253"/>
      <c r="J40" s="253"/>
      <c r="K40" s="253"/>
      <c r="L40" s="253"/>
    </row>
    <row r="41" spans="1:12" ht="45" customHeight="1" x14ac:dyDescent="0.2">
      <c r="A41" s="486" t="s">
        <v>240</v>
      </c>
      <c r="B41" s="63" t="s">
        <v>827</v>
      </c>
      <c r="C41" s="63" t="s">
        <v>828</v>
      </c>
      <c r="D41" s="239" t="s">
        <v>829</v>
      </c>
      <c r="E41" s="576"/>
      <c r="G41" s="254"/>
      <c r="H41" s="255"/>
      <c r="I41" s="253"/>
      <c r="J41" s="253"/>
      <c r="K41" s="253"/>
      <c r="L41" s="253"/>
    </row>
    <row r="42" spans="1:12" ht="20.25" customHeight="1" x14ac:dyDescent="0.2">
      <c r="A42" s="257" t="s">
        <v>850</v>
      </c>
      <c r="B42" s="289">
        <f>Baseline!$C$6</f>
        <v>0</v>
      </c>
      <c r="C42" s="99">
        <f>$C$43</f>
        <v>100</v>
      </c>
      <c r="D42" s="469" t="str">
        <f>IF($B42&gt;=$C42,"Yes","No")</f>
        <v>No</v>
      </c>
      <c r="E42" s="576"/>
      <c r="G42" s="254"/>
      <c r="H42" s="255"/>
      <c r="I42" s="253">
        <f>IF(D42="YES",1,0)</f>
        <v>0</v>
      </c>
      <c r="J42" s="253"/>
      <c r="K42" s="253"/>
      <c r="L42" s="253"/>
    </row>
    <row r="43" spans="1:12" ht="20.25" customHeight="1" x14ac:dyDescent="0.2">
      <c r="A43" s="257" t="s">
        <v>247</v>
      </c>
      <c r="B43" s="289">
        <f>Baseline!$B$6</f>
        <v>0</v>
      </c>
      <c r="C43" s="99">
        <f>IF($B$37="OTHER/NOT LISTED",250,100)</f>
        <v>100</v>
      </c>
      <c r="D43" s="469" t="str">
        <f>IF($B43&gt;=$C43,"Yes","No")</f>
        <v>No</v>
      </c>
      <c r="E43" s="576"/>
      <c r="G43" s="254"/>
      <c r="H43" s="255"/>
      <c r="I43" s="253">
        <f>IF(D43="YES",1,0)</f>
        <v>0</v>
      </c>
      <c r="J43" s="253"/>
      <c r="K43" s="253"/>
      <c r="L43" s="253"/>
    </row>
    <row r="44" spans="1:12" ht="20.25" customHeight="1" x14ac:dyDescent="0.2">
      <c r="A44" s="257" t="s">
        <v>837</v>
      </c>
      <c r="B44" s="289">
        <f>Baseline!$H$6</f>
        <v>0</v>
      </c>
      <c r="C44" s="99">
        <f t="shared" ref="C44:C49" si="3">$C$43</f>
        <v>100</v>
      </c>
      <c r="D44" s="469" t="str">
        <f>IF($B44&gt;=$C44,"Yes","No")</f>
        <v>No</v>
      </c>
      <c r="E44" s="576"/>
      <c r="G44" s="254"/>
      <c r="H44" s="255"/>
      <c r="I44" s="253">
        <f>IF(D44="YES",1,0)</f>
        <v>0</v>
      </c>
      <c r="J44" s="253"/>
      <c r="K44" s="253"/>
      <c r="L44" s="253"/>
    </row>
    <row r="45" spans="1:12" ht="20.25" customHeight="1" x14ac:dyDescent="0.2">
      <c r="A45" s="257" t="s">
        <v>248</v>
      </c>
      <c r="B45" s="289">
        <f>Baseline!$D$6</f>
        <v>0</v>
      </c>
      <c r="C45" s="99">
        <f t="shared" si="3"/>
        <v>100</v>
      </c>
      <c r="D45" s="469" t="str">
        <f t="shared" ref="D45:D49" si="4">IF($B45&gt;=$C45,"Yes","No")</f>
        <v>No</v>
      </c>
      <c r="E45" s="576"/>
      <c r="G45" s="254"/>
      <c r="H45" s="255"/>
      <c r="I45" s="253">
        <f t="shared" ref="I45:I49" si="5">IF(D45="YES",1,0)</f>
        <v>0</v>
      </c>
      <c r="J45" s="253"/>
      <c r="K45" s="253"/>
      <c r="L45" s="253"/>
    </row>
    <row r="46" spans="1:12" ht="20.25" customHeight="1" x14ac:dyDescent="0.2">
      <c r="A46" s="257" t="s">
        <v>835</v>
      </c>
      <c r="B46" s="289">
        <f>Baseline!$E$6</f>
        <v>0</v>
      </c>
      <c r="C46" s="99">
        <f t="shared" si="3"/>
        <v>100</v>
      </c>
      <c r="D46" s="469" t="str">
        <f t="shared" si="4"/>
        <v>No</v>
      </c>
      <c r="E46" s="576"/>
      <c r="G46" s="254"/>
      <c r="H46" s="255"/>
      <c r="I46" s="253">
        <f t="shared" si="5"/>
        <v>0</v>
      </c>
      <c r="J46" s="253"/>
      <c r="K46" s="253"/>
      <c r="L46" s="253"/>
    </row>
    <row r="47" spans="1:12" ht="20.25" customHeight="1" x14ac:dyDescent="0.2">
      <c r="A47" s="257" t="s">
        <v>851</v>
      </c>
      <c r="B47" s="289">
        <f>Baseline!$F$6</f>
        <v>0</v>
      </c>
      <c r="C47" s="99">
        <f t="shared" si="3"/>
        <v>100</v>
      </c>
      <c r="D47" s="469" t="str">
        <f t="shared" si="4"/>
        <v>No</v>
      </c>
      <c r="E47" s="576"/>
      <c r="G47" s="254"/>
      <c r="H47" s="255"/>
      <c r="I47" s="253">
        <f t="shared" si="5"/>
        <v>0</v>
      </c>
      <c r="J47" s="253"/>
      <c r="K47" s="253"/>
      <c r="L47" s="253"/>
    </row>
    <row r="48" spans="1:12" ht="20.25" customHeight="1" x14ac:dyDescent="0.2">
      <c r="A48" s="257" t="s">
        <v>251</v>
      </c>
      <c r="B48" s="289">
        <f>Baseline!$G$6</f>
        <v>0</v>
      </c>
      <c r="C48" s="99">
        <f t="shared" si="3"/>
        <v>100</v>
      </c>
      <c r="D48" s="469" t="str">
        <f t="shared" si="4"/>
        <v>No</v>
      </c>
      <c r="E48" s="576"/>
      <c r="G48" s="254"/>
      <c r="H48" s="255"/>
      <c r="I48" s="253">
        <f t="shared" si="5"/>
        <v>0</v>
      </c>
      <c r="J48" s="253"/>
      <c r="K48" s="253"/>
      <c r="L48" s="253"/>
    </row>
    <row r="49" spans="1:13" ht="20.25" customHeight="1" x14ac:dyDescent="0.2">
      <c r="A49" s="492" t="s">
        <v>852</v>
      </c>
      <c r="B49" s="290">
        <f>Baseline!$I$6</f>
        <v>0</v>
      </c>
      <c r="C49" s="252">
        <f t="shared" si="3"/>
        <v>100</v>
      </c>
      <c r="D49" s="263" t="str">
        <f t="shared" si="4"/>
        <v>No</v>
      </c>
      <c r="E49" s="576"/>
      <c r="G49" s="254"/>
      <c r="H49" s="255"/>
      <c r="I49" s="253">
        <f t="shared" si="5"/>
        <v>0</v>
      </c>
      <c r="J49" s="253"/>
      <c r="K49" s="253"/>
      <c r="L49" s="253"/>
    </row>
    <row r="50" spans="1:13" ht="20.100000000000001" customHeight="1" x14ac:dyDescent="0.2">
      <c r="A50" s="951" t="str">
        <f>"Step 2 Determination: "&amp;IF($I$50,"The current sitewide PTE for at least one pollutant is at or above the major source threshold. The site is an existing major source.","The current sitewide PTE for each regulated pollutant is below the associated major source threshold. The site is currently a minor source.")</f>
        <v>Step 2 Determination: The current sitewide PTE for each regulated pollutant is below the associated major source threshold. The site is currently a minor source.</v>
      </c>
      <c r="B50" s="912"/>
      <c r="C50" s="912"/>
      <c r="D50" s="912"/>
      <c r="E50" s="576"/>
      <c r="G50" s="254"/>
      <c r="H50" s="255"/>
      <c r="I50" s="253" t="b">
        <f>SUM($I$42:$I$49)&gt;0</f>
        <v>0</v>
      </c>
      <c r="J50" s="253"/>
      <c r="K50" s="253"/>
      <c r="L50" s="253"/>
    </row>
    <row r="51" spans="1:13" ht="30" customHeight="1" x14ac:dyDescent="0.2">
      <c r="A51" s="948" t="str">
        <f>"C. Step 3: "&amp;IF($I$50,"Determine if the project is a major modification. Compare the project emissions increase of each regulated pollutant to the associated netting threshold.","Determine if the project emissions increase is a major source by itself. Compare the project emissions increase of each pollutant to the associated major source threshold.")</f>
        <v>C. Step 3: Determine if the project emissions increase is a major source by itself. Compare the project emissions increase of each pollutant to the associated major source threshold.</v>
      </c>
      <c r="B51" s="949"/>
      <c r="C51" s="949"/>
      <c r="D51" s="950"/>
      <c r="E51" s="576"/>
      <c r="G51" s="254"/>
      <c r="H51" s="255"/>
      <c r="I51" s="253"/>
      <c r="J51" s="253"/>
      <c r="K51" s="253"/>
      <c r="L51" s="253"/>
    </row>
    <row r="52" spans="1:13" ht="45" customHeight="1" x14ac:dyDescent="0.2">
      <c r="A52" s="486" t="s">
        <v>240</v>
      </c>
      <c r="B52" s="63" t="s">
        <v>853</v>
      </c>
      <c r="C52" s="63" t="s">
        <v>842</v>
      </c>
      <c r="D52" s="239" t="s">
        <v>854</v>
      </c>
      <c r="E52" s="576"/>
      <c r="G52" s="254"/>
      <c r="H52" s="255"/>
      <c r="I52" s="253"/>
      <c r="J52" s="253"/>
      <c r="K52" s="253"/>
      <c r="L52" s="253" t="str">
        <f>IFERROR(INDEX($Q$3:$Q$31,MATCH($I$17,$P$3:$P$31,0)),"N/A")</f>
        <v>N/A</v>
      </c>
    </row>
    <row r="53" spans="1:13" ht="20.25" customHeight="1" x14ac:dyDescent="0.2">
      <c r="A53" s="257" t="s">
        <v>850</v>
      </c>
      <c r="B53" s="279">
        <f>'Project Summary'!E21</f>
        <v>0</v>
      </c>
      <c r="C53" s="99" t="str">
        <f t="shared" ref="C53:C59" si="6">IF($I$50,$I53&amp;" (netting treshold)",$C$43&amp;" (major source threshold)")</f>
        <v>100 (major source threshold)</v>
      </c>
      <c r="D53" s="469" t="str">
        <f>IF($B53&gt;=$I53,"Yes","No")</f>
        <v>No</v>
      </c>
      <c r="E53" s="576"/>
      <c r="G53" s="259" t="b">
        <v>0</v>
      </c>
      <c r="H53" s="255"/>
      <c r="I53" s="253">
        <f>IF($I$50,40,$C$43)</f>
        <v>100</v>
      </c>
      <c r="J53" s="253">
        <f>IF($G53=FALSE,IF($D53="YES",1,0),0)</f>
        <v>0</v>
      </c>
      <c r="K53" s="641" t="s">
        <v>855</v>
      </c>
      <c r="L53" s="253">
        <f>J53</f>
        <v>0</v>
      </c>
      <c r="M53" s="312" t="s">
        <v>856</v>
      </c>
    </row>
    <row r="54" spans="1:13" ht="20.25" customHeight="1" x14ac:dyDescent="0.2">
      <c r="A54" s="257" t="s">
        <v>247</v>
      </c>
      <c r="B54" s="279">
        <f>'Project Summary'!E22</f>
        <v>0</v>
      </c>
      <c r="C54" s="99" t="str">
        <f t="shared" si="6"/>
        <v>100 (major source threshold)</v>
      </c>
      <c r="D54" s="469" t="str">
        <f>IF($B54&gt;=$I54,"Yes","No")</f>
        <v>No</v>
      </c>
      <c r="E54" s="576"/>
      <c r="G54" s="254" t="b">
        <v>0</v>
      </c>
      <c r="H54" s="255"/>
      <c r="I54" s="253">
        <f>IF($I$50,100,$C$43)</f>
        <v>100</v>
      </c>
      <c r="J54" s="253">
        <f>IF($G54=FALSE,IF($D54="YES",1,0),0)</f>
        <v>0</v>
      </c>
      <c r="K54" s="641" t="s">
        <v>855</v>
      </c>
      <c r="L54" s="253">
        <f>J54</f>
        <v>0</v>
      </c>
      <c r="M54" s="312" t="s">
        <v>857</v>
      </c>
    </row>
    <row r="55" spans="1:13" ht="20.25" customHeight="1" x14ac:dyDescent="0.2">
      <c r="A55" s="257" t="s">
        <v>837</v>
      </c>
      <c r="B55" s="279">
        <f>'Project Summary'!E23</f>
        <v>0</v>
      </c>
      <c r="C55" s="99" t="str">
        <f t="shared" si="6"/>
        <v>100 (major source threshold)</v>
      </c>
      <c r="D55" s="469" t="str">
        <f>IF($B55&gt;=$I55,"Yes","No")</f>
        <v>No</v>
      </c>
      <c r="E55" s="576"/>
      <c r="G55" s="254" t="b">
        <f>IF($L$52="SO2",AND($I$50,$B$18="YES"),FALSE)</f>
        <v>0</v>
      </c>
      <c r="H55" s="255"/>
      <c r="I55" s="253">
        <f>IF($I$50,40,$C$43)</f>
        <v>100</v>
      </c>
      <c r="J55" s="253">
        <f>IF($G55=FALSE,IF($D55="YES",1,0),0)</f>
        <v>0</v>
      </c>
      <c r="K55" s="253">
        <f>IF(J17,IF(AND(L17,B18="Yes"),J55,0),0)</f>
        <v>0</v>
      </c>
      <c r="L55" s="642">
        <f>IF(L17=FALSE,J55,IF(B18="NO",J55,0))</f>
        <v>0</v>
      </c>
      <c r="M55" s="312" t="s">
        <v>858</v>
      </c>
    </row>
    <row r="56" spans="1:13" ht="20.25" customHeight="1" x14ac:dyDescent="0.2">
      <c r="A56" s="257" t="s">
        <v>248</v>
      </c>
      <c r="B56" s="279">
        <f>'Project Summary'!E24</f>
        <v>0</v>
      </c>
      <c r="C56" s="99" t="str">
        <f t="shared" si="6"/>
        <v>100 (major source threshold)</v>
      </c>
      <c r="D56" s="469" t="str">
        <f t="shared" ref="D56:D60" si="7">IF($B56&gt;=$I56,"Yes","No")</f>
        <v>No</v>
      </c>
      <c r="E56" s="576"/>
      <c r="G56" s="254" t="b">
        <v>0</v>
      </c>
      <c r="H56" s="255"/>
      <c r="I56" s="253">
        <f>IF($I$50,25,$C$43)</f>
        <v>100</v>
      </c>
      <c r="J56" s="253">
        <f t="shared" ref="J56:J60" si="8">IF($G56=FALSE,IF($D56="YES",1,0),0)</f>
        <v>0</v>
      </c>
      <c r="K56" s="641" t="s">
        <v>855</v>
      </c>
      <c r="L56" s="253">
        <f>J56</f>
        <v>0</v>
      </c>
    </row>
    <row r="57" spans="1:13" ht="20.25" customHeight="1" x14ac:dyDescent="0.2">
      <c r="A57" s="257" t="s">
        <v>835</v>
      </c>
      <c r="B57" s="279">
        <f>'Project Summary'!E25</f>
        <v>0</v>
      </c>
      <c r="C57" s="99" t="str">
        <f t="shared" si="6"/>
        <v>100 (major source threshold)</v>
      </c>
      <c r="D57" s="469" t="str">
        <f t="shared" si="7"/>
        <v>No</v>
      </c>
      <c r="E57" s="576"/>
      <c r="G57" s="254" t="b">
        <f>IF($L$52="PM10",AND(I50,$B$18="YES"),FALSE)</f>
        <v>0</v>
      </c>
      <c r="H57" s="255"/>
      <c r="I57" s="253">
        <f>IF($I$50,15,$C$43)</f>
        <v>100</v>
      </c>
      <c r="J57" s="253">
        <f t="shared" si="8"/>
        <v>0</v>
      </c>
      <c r="K57" s="253">
        <f>IF(J17,IF(OR(AND(B18="Yes",L52="PM10")),J57,0),0)</f>
        <v>0</v>
      </c>
      <c r="L57" s="642">
        <f>IF(K17=FALSE,J57,IF(B18="NO",J57,0))</f>
        <v>0</v>
      </c>
    </row>
    <row r="58" spans="1:13" ht="20.25" customHeight="1" x14ac:dyDescent="0.2">
      <c r="A58" s="257" t="s">
        <v>851</v>
      </c>
      <c r="B58" s="279">
        <f>'Project Summary'!E26</f>
        <v>0</v>
      </c>
      <c r="C58" s="99" t="str">
        <f t="shared" si="6"/>
        <v>100 (major source threshold)</v>
      </c>
      <c r="D58" s="469" t="str">
        <f t="shared" si="7"/>
        <v>No</v>
      </c>
      <c r="E58" s="576"/>
      <c r="G58" s="254" t="b">
        <v>0</v>
      </c>
      <c r="H58" s="255"/>
      <c r="I58" s="253">
        <f>IF($I$50,10,$C$43)</f>
        <v>100</v>
      </c>
      <c r="J58" s="253">
        <f t="shared" si="8"/>
        <v>0</v>
      </c>
      <c r="K58" s="641" t="s">
        <v>855</v>
      </c>
      <c r="L58" s="253">
        <f>J58</f>
        <v>0</v>
      </c>
    </row>
    <row r="59" spans="1:13" ht="20.25" customHeight="1" x14ac:dyDescent="0.2">
      <c r="A59" s="257" t="s">
        <v>251</v>
      </c>
      <c r="B59" s="279">
        <f>'Project Summary'!E27</f>
        <v>0</v>
      </c>
      <c r="C59" s="99" t="str">
        <f t="shared" si="6"/>
        <v>100 (major source threshold)</v>
      </c>
      <c r="D59" s="469" t="str">
        <f t="shared" si="7"/>
        <v>No</v>
      </c>
      <c r="E59" s="576"/>
      <c r="G59" s="254" t="b">
        <f>IF($K$17,$I$50,AND($I$50,$L$52="ozone"))</f>
        <v>0</v>
      </c>
      <c r="H59" s="255"/>
      <c r="I59" s="253">
        <f>IF($I$50,40,$C$43)</f>
        <v>100</v>
      </c>
      <c r="J59" s="253">
        <f t="shared" si="8"/>
        <v>0</v>
      </c>
      <c r="K59" s="253">
        <f>IF(J17,IF(OR(K17,L52="ozone"),J59,0),0)</f>
        <v>0</v>
      </c>
      <c r="L59" s="642">
        <f>IF(K17=FALSE,IF(L52&lt;&gt;"OZONE",J59,0),0)</f>
        <v>0</v>
      </c>
    </row>
    <row r="60" spans="1:13" ht="20.25" customHeight="1" x14ac:dyDescent="0.2">
      <c r="A60" s="492" t="s">
        <v>852</v>
      </c>
      <c r="B60" s="291">
        <f>'Project Summary'!E28</f>
        <v>0</v>
      </c>
      <c r="C60" s="252" t="str">
        <f t="shared" ref="C60" si="9">IF($I$50,$I60&amp;" (netting treshold)",$C$43&amp;" (major source threshold)")</f>
        <v>100 (major source threshold)</v>
      </c>
      <c r="D60" s="263" t="str">
        <f t="shared" si="7"/>
        <v>No</v>
      </c>
      <c r="E60" s="576"/>
      <c r="G60" s="254" t="b">
        <v>0</v>
      </c>
      <c r="H60" s="255"/>
      <c r="I60" s="579">
        <f>IF($I$50,7,$C$43)</f>
        <v>100</v>
      </c>
      <c r="J60" s="253">
        <f t="shared" si="8"/>
        <v>0</v>
      </c>
      <c r="K60" s="641" t="s">
        <v>855</v>
      </c>
      <c r="L60" s="253">
        <f>J60</f>
        <v>0</v>
      </c>
    </row>
    <row r="61" spans="1:13" ht="35.1" customHeight="1" thickBot="1" x14ac:dyDescent="0.25">
      <c r="A61" s="888" t="str">
        <f t="shared" ref="A61" si="10">"Step 3 Determination: "&amp;IF($J$17=FALSE,IF(J61,IF(I50,"At least one pollutant in this project is at or above the threshold. Netting would be required. This project does not qualify for this RAP.","At least one pollutant in this project is at or above the threshold. PSD review would be required. This project does not qualify for this RAP."),"The project emissions increase for each evaluated pollutant and/or precursor is below the threshold. PSD review is not required."),IF(I50,IF(J61,"At least one pollutant in this project is at or above the threshold. Netting would be required. This project does not qualify for this RAP.","The project emissions increase for each evaluated pollutant and/or precursor is below the netting threshold. PSD review is not required."),IF(L61,"At least one pollutant in this project is at or above the threshold. PSD review would be required. This project does not qualify for this RAP.",IF(K61,"At least one pollutant for which the area is designated nonattainment has a project emissions increase at or above the threshold. "&amp;"Continue to the next step to determine if the project emissions increase for any other pollutant would be a major modification.","The project emissions increase for each evaluated pollutant and/or precursor is below the threshold. PSD review is not required."))))</f>
        <v>Step 3 Determination: The project emissions increase for each evaluated pollutant and/or precursor is below the threshold. PSD review is not required.</v>
      </c>
      <c r="B61" s="889"/>
      <c r="C61" s="889"/>
      <c r="D61" s="889"/>
      <c r="E61" s="576"/>
      <c r="G61" s="254"/>
      <c r="H61" s="260" t="b">
        <f>COUNTIF(A61,"*does not qualify*")&gt;0</f>
        <v>0</v>
      </c>
      <c r="I61" s="253"/>
      <c r="J61" s="253" t="b">
        <f>SUM($J$53:$J$60)&gt;0</f>
        <v>0</v>
      </c>
      <c r="K61" s="253" t="b">
        <f>SUM($K$53:$K$60)&gt;0</f>
        <v>0</v>
      </c>
      <c r="L61" s="253" t="b">
        <f>SUM($L$53:$L$60)&gt;0</f>
        <v>0</v>
      </c>
    </row>
    <row r="62" spans="1:13" ht="30" customHeight="1" x14ac:dyDescent="0.2">
      <c r="A62" s="948" t="s">
        <v>859</v>
      </c>
      <c r="B62" s="949"/>
      <c r="C62" s="949"/>
      <c r="D62" s="950"/>
      <c r="E62" s="576"/>
      <c r="G62" s="578" t="b">
        <f>COUNTIF(A61,"*continue to the next step*")=0</f>
        <v>1</v>
      </c>
      <c r="H62" s="255"/>
      <c r="I62" s="579"/>
      <c r="J62" s="579"/>
      <c r="K62" s="579"/>
      <c r="L62" s="579"/>
    </row>
    <row r="63" spans="1:13" ht="45" customHeight="1" x14ac:dyDescent="0.2">
      <c r="A63" s="244" t="s">
        <v>240</v>
      </c>
      <c r="B63" s="63" t="s">
        <v>841</v>
      </c>
      <c r="C63" s="63" t="s">
        <v>860</v>
      </c>
      <c r="D63" s="239" t="s">
        <v>861</v>
      </c>
      <c r="E63" s="593"/>
      <c r="G63" s="254" t="b">
        <f>$G$62</f>
        <v>1</v>
      </c>
      <c r="H63" s="255"/>
      <c r="I63" s="579"/>
      <c r="J63" s="579"/>
      <c r="K63" s="579"/>
      <c r="L63" s="579"/>
    </row>
    <row r="64" spans="1:13" ht="20.25" customHeight="1" x14ac:dyDescent="0.2">
      <c r="A64" s="234" t="s">
        <v>374</v>
      </c>
      <c r="B64" s="279">
        <f>$B53</f>
        <v>0</v>
      </c>
      <c r="C64" s="99">
        <v>40</v>
      </c>
      <c r="D64" s="469" t="str">
        <f>IF($B64&gt;=$C64,"Yes","No")</f>
        <v>No</v>
      </c>
      <c r="E64" s="593"/>
      <c r="G64" s="254" t="b">
        <f>$G$62</f>
        <v>1</v>
      </c>
      <c r="H64" s="255"/>
      <c r="I64" s="579"/>
      <c r="J64" s="579">
        <f>IF(G64=FALSE,IF(D64="Yes",1,0),0)</f>
        <v>0</v>
      </c>
      <c r="K64" s="579"/>
      <c r="L64" s="579"/>
    </row>
    <row r="65" spans="1:12" ht="20.25" customHeight="1" x14ac:dyDescent="0.2">
      <c r="A65" s="234" t="s">
        <v>247</v>
      </c>
      <c r="B65" s="279">
        <f t="shared" ref="B65:B71" si="11">$B54</f>
        <v>0</v>
      </c>
      <c r="C65" s="99">
        <v>100</v>
      </c>
      <c r="D65" s="469" t="str">
        <f t="shared" ref="D65:D71" si="12">IF($B65&gt;=$C65,"Yes","No")</f>
        <v>No</v>
      </c>
      <c r="E65" s="593"/>
      <c r="G65" s="254" t="b">
        <f>$G$62</f>
        <v>1</v>
      </c>
      <c r="H65" s="255"/>
      <c r="I65" s="579"/>
      <c r="J65" s="579">
        <f t="shared" ref="J65:J71" si="13">IF(G65=FALSE,IF(D65="Yes",1,0),0)</f>
        <v>0</v>
      </c>
      <c r="K65" s="579"/>
      <c r="L65" s="579"/>
    </row>
    <row r="66" spans="1:12" ht="20.25" customHeight="1" x14ac:dyDescent="0.2">
      <c r="A66" s="234" t="s">
        <v>837</v>
      </c>
      <c r="B66" s="279">
        <f t="shared" si="11"/>
        <v>0</v>
      </c>
      <c r="C66" s="99">
        <v>40</v>
      </c>
      <c r="D66" s="469" t="str">
        <f t="shared" si="12"/>
        <v>No</v>
      </c>
      <c r="E66" s="593"/>
      <c r="G66" s="254" t="b">
        <f>OR($G$62,AND(L17,$B$18="Yes"))</f>
        <v>1</v>
      </c>
      <c r="H66" s="255"/>
      <c r="I66" s="579"/>
      <c r="J66" s="579">
        <f t="shared" si="13"/>
        <v>0</v>
      </c>
      <c r="K66" s="579"/>
      <c r="L66" s="579"/>
    </row>
    <row r="67" spans="1:12" ht="20.25" customHeight="1" x14ac:dyDescent="0.2">
      <c r="A67" s="234" t="s">
        <v>248</v>
      </c>
      <c r="B67" s="279">
        <f t="shared" si="11"/>
        <v>0</v>
      </c>
      <c r="C67" s="99">
        <v>25</v>
      </c>
      <c r="D67" s="469" t="str">
        <f t="shared" si="12"/>
        <v>No</v>
      </c>
      <c r="E67" s="593"/>
      <c r="G67" s="254" t="b">
        <f>$G$62</f>
        <v>1</v>
      </c>
      <c r="H67" s="255"/>
      <c r="I67" s="579"/>
      <c r="J67" s="579">
        <f t="shared" si="13"/>
        <v>0</v>
      </c>
      <c r="K67" s="579"/>
      <c r="L67" s="579"/>
    </row>
    <row r="68" spans="1:12" ht="20.25" customHeight="1" x14ac:dyDescent="0.2">
      <c r="A68" s="234" t="s">
        <v>835</v>
      </c>
      <c r="B68" s="279">
        <f t="shared" si="11"/>
        <v>0</v>
      </c>
      <c r="C68" s="99">
        <v>15</v>
      </c>
      <c r="D68" s="469" t="str">
        <f t="shared" si="12"/>
        <v>No</v>
      </c>
      <c r="E68" s="593"/>
      <c r="G68" s="254" t="b">
        <f>OR($G$62,AND($B$18="Yes",L52="PM10"))</f>
        <v>1</v>
      </c>
      <c r="H68" s="255"/>
      <c r="I68" s="579"/>
      <c r="J68" s="579">
        <f t="shared" si="13"/>
        <v>0</v>
      </c>
      <c r="K68" s="579"/>
      <c r="L68" s="579"/>
    </row>
    <row r="69" spans="1:12" ht="20.25" customHeight="1" x14ac:dyDescent="0.2">
      <c r="A69" s="234" t="s">
        <v>851</v>
      </c>
      <c r="B69" s="279">
        <f t="shared" si="11"/>
        <v>0</v>
      </c>
      <c r="C69" s="99">
        <v>10</v>
      </c>
      <c r="D69" s="469" t="str">
        <f t="shared" si="12"/>
        <v>No</v>
      </c>
      <c r="E69" s="593"/>
      <c r="G69" s="254" t="b">
        <f>$G$62</f>
        <v>1</v>
      </c>
      <c r="H69" s="255"/>
      <c r="I69" s="579"/>
      <c r="J69" s="579">
        <f t="shared" si="13"/>
        <v>0</v>
      </c>
      <c r="K69" s="579"/>
      <c r="L69" s="579"/>
    </row>
    <row r="70" spans="1:12" ht="20.25" customHeight="1" x14ac:dyDescent="0.2">
      <c r="A70" s="234" t="s">
        <v>251</v>
      </c>
      <c r="B70" s="279">
        <f t="shared" si="11"/>
        <v>0</v>
      </c>
      <c r="C70" s="99">
        <v>40</v>
      </c>
      <c r="D70" s="469" t="str">
        <f t="shared" si="12"/>
        <v>No</v>
      </c>
      <c r="E70" s="593"/>
      <c r="G70" s="254" t="b">
        <f>OR($G$62,$L$52="OZONE",$K$17)</f>
        <v>1</v>
      </c>
      <c r="H70" s="255"/>
      <c r="I70" s="579"/>
      <c r="J70" s="579">
        <f t="shared" si="13"/>
        <v>0</v>
      </c>
      <c r="K70" s="579"/>
      <c r="L70" s="579"/>
    </row>
    <row r="71" spans="1:12" ht="20.25" customHeight="1" x14ac:dyDescent="0.2">
      <c r="A71" s="262" t="s">
        <v>852</v>
      </c>
      <c r="B71" s="291">
        <f t="shared" si="11"/>
        <v>0</v>
      </c>
      <c r="C71" s="252">
        <v>7</v>
      </c>
      <c r="D71" s="263" t="str">
        <f t="shared" si="12"/>
        <v>No</v>
      </c>
      <c r="E71" s="593"/>
      <c r="G71" s="254" t="b">
        <f>$G$62</f>
        <v>1</v>
      </c>
      <c r="H71" s="255"/>
      <c r="I71" s="579"/>
      <c r="J71" s="579">
        <f t="shared" si="13"/>
        <v>0</v>
      </c>
      <c r="K71" s="579"/>
      <c r="L71" s="579"/>
    </row>
    <row r="72" spans="1:12" ht="20.100000000000001" customHeight="1" thickBot="1" x14ac:dyDescent="0.25">
      <c r="A72" s="888" t="str">
        <f t="shared" ref="A72" si="14">"Step 4 Determination: "&amp;IF(J72,"At least one pollutant in this project is at or above the threshold. PSD review would be required. This project does not qualify for this RAP.","The project emissions increase for each evaluated pollutant and/or precursor is below the threshold. PSD review is not required.")</f>
        <v>Step 4 Determination: The project emissions increase for each evaluated pollutant and/or precursor is below the threshold. PSD review is not required.</v>
      </c>
      <c r="B72" s="889"/>
      <c r="C72" s="889"/>
      <c r="D72" s="889"/>
      <c r="E72" s="577"/>
      <c r="G72" s="254" t="b">
        <f>$G$62</f>
        <v>1</v>
      </c>
      <c r="H72" s="255" t="b">
        <f>COUNTIF(A72,"*does not qualify*")&gt;0</f>
        <v>0</v>
      </c>
      <c r="I72" s="579"/>
      <c r="J72" s="579" t="b">
        <f>SUM($J$64:$J$71)&gt;0</f>
        <v>0</v>
      </c>
      <c r="K72" s="579"/>
      <c r="L72" s="579"/>
    </row>
    <row r="73" spans="1:12" ht="8.1" customHeight="1" x14ac:dyDescent="0.2">
      <c r="A73" s="312"/>
      <c r="E73" s="264"/>
    </row>
    <row r="74" spans="1:12" x14ac:dyDescent="0.2">
      <c r="A74" s="959" t="s">
        <v>58</v>
      </c>
      <c r="B74" s="960"/>
      <c r="C74" s="960"/>
      <c r="D74" s="960"/>
      <c r="E74" s="960"/>
    </row>
    <row r="75" spans="1:12" ht="8.1" hidden="1" customHeight="1" x14ac:dyDescent="0.2">
      <c r="E75" s="264"/>
    </row>
  </sheetData>
  <sheetProtection algorithmName="SHA-512" hashValue="akirIW0C65q5BFxYiYHsi0dzX380xpOqmiyDgGUNCHqiAEl2ulXOWJzPo9KVvjszy0qU9QP1d97l2bgiqlyDKg==" saltValue="B9XcCzFOEz34dPCMKDN3jQ==" spinCount="100000" sheet="1" objects="1" scenarios="1" formatColumns="0" formatRows="0" autoFilter="0"/>
  <mergeCells count="27">
    <mergeCell ref="A74:E74"/>
    <mergeCell ref="A7:B7"/>
    <mergeCell ref="A35:D35"/>
    <mergeCell ref="A16:D16"/>
    <mergeCell ref="A1:D1"/>
    <mergeCell ref="A2:D2"/>
    <mergeCell ref="A3:D3"/>
    <mergeCell ref="A4:D4"/>
    <mergeCell ref="A5:D5"/>
    <mergeCell ref="A61:D61"/>
    <mergeCell ref="A15:D15"/>
    <mergeCell ref="B37:D37"/>
    <mergeCell ref="B17:D17"/>
    <mergeCell ref="B18:D18"/>
    <mergeCell ref="B19:D19"/>
    <mergeCell ref="A26:D26"/>
    <mergeCell ref="A20:D20"/>
    <mergeCell ref="A27:D27"/>
    <mergeCell ref="A36:D36"/>
    <mergeCell ref="B38:D38"/>
    <mergeCell ref="B39:D39"/>
    <mergeCell ref="A62:D62"/>
    <mergeCell ref="A72:D72"/>
    <mergeCell ref="A33:D33"/>
    <mergeCell ref="A51:D51"/>
    <mergeCell ref="A40:D40"/>
    <mergeCell ref="A50:D50"/>
  </mergeCells>
  <conditionalFormatting sqref="A9:B13 A14:D72">
    <cfRule type="expression" dxfId="15" priority="3">
      <formula>$H9</formula>
    </cfRule>
  </conditionalFormatting>
  <conditionalFormatting sqref="A12:B13 A14:D72">
    <cfRule type="expression" dxfId="14" priority="2">
      <formula>$G12</formula>
    </cfRule>
  </conditionalFormatting>
  <conditionalFormatting sqref="A35:D72">
    <cfRule type="expression" dxfId="13" priority="1">
      <formula>$H$33</formula>
    </cfRule>
  </conditionalFormatting>
  <dataValidations count="9">
    <dataValidation type="textLength" operator="lessThanOrEqual" allowBlank="1" showErrorMessage="1" prompt="Provide a short description of the facility, limited to 300 characters." sqref="B38" xr:uid="{F975AF20-8BEA-4377-A8A7-12154EA4EEE1}">
      <formula1>300</formula1>
    </dataValidation>
    <dataValidation type="list" allowBlank="1" showErrorMessage="1" prompt="Confirm the following methods will not be used in the federal applicability analysis for this project: net-to-zero, retrospective review, incremental increases, or projected actuals/could have accommodated. Enter or select &quot;I agree&quot; or &quot;I disagree&quot;." sqref="B10" xr:uid="{8300D891-86D3-424F-A4F9-199085516B6B}">
      <formula1>"I agree,I disagree"</formula1>
    </dataValidation>
    <dataValidation type="list" allowBlank="1" showErrorMessage="1" prompt="Confirm this project will have no affected sources upstream of the modified sources. Enter or select &quot;I agree&quot; or &quot;I disagree&quot;." sqref="B9" xr:uid="{5B7719A5-365B-417A-BE56-AF1B92A4A5D6}">
      <formula1>"I agree,I disagree"</formula1>
    </dataValidation>
    <dataValidation type="list" allowBlank="1" showErrorMessage="1" prompt="Are there any pending projects involving EPNs in this project? Enter or select &quot;Yes&quot; or &quot;No&quot;." sqref="B11" xr:uid="{02F357FF-FD60-4BAA-B25B-C5D67C80AFFF}">
      <formula1>"Yes,No"</formula1>
    </dataValidation>
    <dataValidation type="textLength" operator="lessThanOrEqual" allowBlank="1" showErrorMessage="1" prompt="Describe the proposed changes in the other pending projects. Limited to 300 characters." sqref="B12" xr:uid="{347ED1C1-5D62-4CDD-A43A-E9A6D7C04079}">
      <formula1>300</formula1>
    </dataValidation>
    <dataValidation type="textLength" operator="lessThanOrEqual" allowBlank="1" showErrorMessage="1" prompt="When was the most recent air authorization action affecting sources in this RAP project? Provide the date and a brief description of the change. Enter NA if necessary. Limited to 300 characters." sqref="B13" xr:uid="{5D3B2880-9FD0-42EB-97B2-C0918497DB52}">
      <formula1>300</formula1>
    </dataValidation>
    <dataValidation type="list" allowBlank="1" showErrorMessage="1" prompt="Is this facility located within the portion of this county that is designated nonattainment? Enter or select &quot;Yes&quot; or &quot;No&quot;." sqref="B18:D18" xr:uid="{D1DA95AC-7D9A-4E92-9781-FB637444F263}">
      <formula1>"Yes,No"</formula1>
    </dataValidation>
    <dataValidation type="list" allowBlank="1" showErrorMessage="1" prompt="Use the dropdown menu to select the source type that most closely matches the facility in this application." sqref="B37" xr:uid="{D3BCB439-848D-4B22-A289-47531086243E}">
      <formula1>$AA$2:$AA$28</formula1>
    </dataValidation>
    <dataValidation allowBlank="1" showErrorMessage="1" prompt="This cell intentionally left blank for internal comments. All internal comments must be submitted prior to application submittal." sqref="E6:E72" xr:uid="{400C98B1-80C3-42A5-B6C4-C0E31D9D3167}"/>
  </dataValidations>
  <hyperlinks>
    <hyperlink ref="A74" location="BACT!A1" tooltip="End of sheet. Click here to move to the next sheet." display="End of sheet. Click here to move to the next sheet." xr:uid="{5B92F295-658E-4113-90A5-5849C6D041B6}"/>
    <hyperlink ref="A5" r:id="rId1" xr:uid="{8D7F60AC-B11E-420F-8930-A57554AFD1E9}"/>
  </hyperlinks>
  <printOptions horizontalCentered="1"/>
  <pageMargins left="0.25" right="0.25" top="0.57395833333333302" bottom="0.61354166666666698" header="0.3" footer="0.3"/>
  <pageSetup scale="73" fitToHeight="0" orientation="portrait" r:id="rId2"/>
  <headerFooter>
    <oddHeader>&amp;C&amp;"Arial,Regular"Engine Power Generation RAP Application</oddHeader>
    <oddFooter>&amp;L&amp;"Arial,Regular"Version: 1.0&amp;C&amp;"Arial,Regular"Sheet: &amp;A&amp;R&amp;"Arial,Regular"Page &amp;P</oddFooter>
  </headerFooter>
  <ignoredErrors>
    <ignoredError sqref="B22:B25" calculatedColumn="1"/>
  </ignoredErrors>
  <tableParts count="6">
    <tablePart r:id="rId3"/>
    <tablePart r:id="rId4"/>
    <tablePart r:id="rId5"/>
    <tablePart r:id="rId6"/>
    <tablePart r:id="rId7"/>
    <tablePart r:id="rId8"/>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9">
    <tabColor rgb="FFDCDCFF"/>
  </sheetPr>
  <dimension ref="A1:B22"/>
  <sheetViews>
    <sheetView showGridLines="0" zoomScaleNormal="100" workbookViewId="0"/>
  </sheetViews>
  <sheetFormatPr defaultColWidth="0" defaultRowHeight="14.25" zeroHeight="1" x14ac:dyDescent="0.2"/>
  <cols>
    <col min="1" max="1" width="107.25" customWidth="1"/>
    <col min="2" max="2" width="2.625" customWidth="1"/>
    <col min="3" max="16384" width="9" hidden="1"/>
  </cols>
  <sheetData>
    <row r="1" spans="1:1" ht="18.75" customHeight="1" thickBot="1" x14ac:dyDescent="0.25">
      <c r="A1" s="98" t="s">
        <v>862</v>
      </c>
    </row>
    <row r="2" spans="1:1" ht="112.5" customHeight="1" thickBot="1" x14ac:dyDescent="0.25">
      <c r="A2" s="64" t="s">
        <v>863</v>
      </c>
    </row>
    <row r="3" spans="1:1" ht="15.75" thickBot="1" x14ac:dyDescent="0.25">
      <c r="A3" s="79"/>
    </row>
    <row r="4" spans="1:1" ht="16.5" customHeight="1" thickBot="1" x14ac:dyDescent="0.25">
      <c r="A4" s="80" t="s">
        <v>864</v>
      </c>
    </row>
    <row r="5" spans="1:1" ht="45" customHeight="1" x14ac:dyDescent="0.2">
      <c r="A5" s="78" t="s">
        <v>865</v>
      </c>
    </row>
    <row r="6" spans="1:1" ht="30" customHeight="1" x14ac:dyDescent="0.2">
      <c r="A6" s="71" t="s">
        <v>866</v>
      </c>
    </row>
    <row r="7" spans="1:1" ht="30" customHeight="1" x14ac:dyDescent="0.2">
      <c r="A7" s="71" t="s">
        <v>867</v>
      </c>
    </row>
    <row r="8" spans="1:1" ht="47.25" x14ac:dyDescent="0.2">
      <c r="A8" s="71" t="s">
        <v>868</v>
      </c>
    </row>
    <row r="9" spans="1:1" ht="18" customHeight="1" x14ac:dyDescent="0.2">
      <c r="A9" s="71" t="s">
        <v>869</v>
      </c>
    </row>
    <row r="10" spans="1:1" ht="51.75" x14ac:dyDescent="0.2">
      <c r="A10" s="71" t="s">
        <v>870</v>
      </c>
    </row>
    <row r="11" spans="1:1" ht="15" thickBot="1" x14ac:dyDescent="0.25">
      <c r="A11" s="293" t="s">
        <v>871</v>
      </c>
    </row>
    <row r="12" spans="1:1" ht="15.75" thickBot="1" x14ac:dyDescent="0.25">
      <c r="A12" s="81"/>
    </row>
    <row r="13" spans="1:1" ht="17.100000000000001" customHeight="1" thickBot="1" x14ac:dyDescent="0.25">
      <c r="A13" s="82" t="s">
        <v>872</v>
      </c>
    </row>
    <row r="14" spans="1:1" x14ac:dyDescent="0.2">
      <c r="A14" s="292" t="s">
        <v>873</v>
      </c>
    </row>
    <row r="15" spans="1:1" ht="15" thickBot="1" x14ac:dyDescent="0.25">
      <c r="A15" s="293" t="s">
        <v>874</v>
      </c>
    </row>
    <row r="16" spans="1:1" ht="15.75" thickBot="1" x14ac:dyDescent="0.25">
      <c r="A16" s="79"/>
    </row>
    <row r="17" spans="1:1" ht="17.100000000000001" customHeight="1" thickBot="1" x14ac:dyDescent="0.25">
      <c r="A17" s="359" t="s">
        <v>875</v>
      </c>
    </row>
    <row r="18" spans="1:1" ht="33.75" customHeight="1" x14ac:dyDescent="0.2">
      <c r="A18" s="78" t="s">
        <v>876</v>
      </c>
    </row>
    <row r="19" spans="1:1" ht="15" thickBot="1" x14ac:dyDescent="0.25">
      <c r="A19" s="84" t="s">
        <v>877</v>
      </c>
    </row>
    <row r="20" spans="1:1" ht="8.4499999999999993" customHeight="1" x14ac:dyDescent="0.2">
      <c r="A20" s="85"/>
    </row>
    <row r="21" spans="1:1" x14ac:dyDescent="0.2">
      <c r="A21" s="86" t="str">
        <f>HYPERLINK("#Sheet_AQA","End of sheet. Click here to move to the next sheet.")</f>
        <v>End of sheet. Click here to move to the next sheet.</v>
      </c>
    </row>
    <row r="22" spans="1:1" ht="8.4499999999999993" hidden="1" customHeight="1" x14ac:dyDescent="0.2">
      <c r="A22" s="85"/>
    </row>
  </sheetData>
  <sheetProtection algorithmName="SHA-512" hashValue="WNl8vl7drSt6EJRzs4ck+DmgSEj7pbHiU6/DljxsghCNMvn6Cb8VzhHgripU6CKwz1nWqbIjBPNZz7m3RXGvTg==" saltValue="bfCJEbOCIWCEYTZq11e6fQ==" spinCount="100000" sheet="1" objects="1" scenarios="1" formatColumns="0" formatRows="0" autoFilter="0"/>
  <hyperlinks>
    <hyperlink ref="A19" r:id="rId1" xr:uid="{FBD374DE-B4DC-4CB4-8AFC-7ED70912277A}"/>
  </hyperlinks>
  <pageMargins left="0.25" right="0.25" top="0.57395833333333302" bottom="0.61354166666666698" header="0.3" footer="0.3"/>
  <pageSetup scale="73" fitToHeight="0" orientation="portrait" r:id="rId2"/>
  <headerFooter>
    <oddHeader>&amp;C&amp;"Arial,Regular"Engine Power Generation RAP Application</oddHeader>
    <oddFooter>&amp;L&amp;"Arial,Regular"Version: 1.0&amp;C&amp;"Arial,Regular"Sheet: &amp;A&amp;R&amp;"Arial,Regular"Page &amp;P</oddFooter>
  </headerFooter>
  <extLst>
    <ext xmlns:x14="http://schemas.microsoft.com/office/spreadsheetml/2009/9/main" uri="{78C0D931-6437-407d-A8EE-F0AAD7539E65}">
      <x14:conditionalFormattings>
        <x14:conditionalFormatting xmlns:xm="http://schemas.microsoft.com/office/excel/2006/main">
          <x14:cfRule type="expression" priority="401" id="{54F8F423-B2EA-4C57-9686-174BF3418E53}">
            <xm:f>Reference!$E$64</xm:f>
            <x14:dxf>
              <font>
                <color theme="0" tint="-0.24994659260841701"/>
              </font>
              <numFmt numFmtId="174" formatCode=";;;"/>
              <fill>
                <patternFill>
                  <bgColor theme="0" tint="-0.499984740745262"/>
                </patternFill>
              </fill>
            </x14:dxf>
          </x14:cfRule>
          <xm:sqref>A17:A19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9F3BD-E0CF-40E8-90E5-38709E33DB9E}">
  <sheetPr codeName="Sheet3">
    <tabColor rgb="FFFFDCDC"/>
  </sheetPr>
  <dimension ref="A1:H136"/>
  <sheetViews>
    <sheetView showGridLines="0" zoomScaleNormal="100" workbookViewId="0">
      <selection sqref="A1:B1"/>
    </sheetView>
  </sheetViews>
  <sheetFormatPr defaultColWidth="0" defaultRowHeight="14.25" zeroHeight="1" x14ac:dyDescent="0.2"/>
  <cols>
    <col min="1" max="2" width="60.125" style="6" customWidth="1"/>
    <col min="3" max="3" width="40.625" style="3" customWidth="1"/>
    <col min="4" max="4" width="2.625" style="3" customWidth="1"/>
    <col min="5" max="5" width="8.125" style="4" hidden="1" customWidth="1"/>
    <col min="6" max="6" width="6.875" style="4" hidden="1" customWidth="1"/>
    <col min="7" max="7" width="6.125" style="4" hidden="1" customWidth="1"/>
    <col min="8" max="8" width="0.25" style="4" hidden="1" customWidth="1"/>
    <col min="9" max="16384" width="0.25" hidden="1"/>
  </cols>
  <sheetData>
    <row r="1" spans="1:8" ht="18" x14ac:dyDescent="0.2">
      <c r="A1" s="835" t="s">
        <v>59</v>
      </c>
      <c r="B1" s="836"/>
      <c r="C1" s="124" t="s">
        <v>60</v>
      </c>
      <c r="D1" s="370"/>
      <c r="E1" s="4" t="s">
        <v>61</v>
      </c>
      <c r="F1" s="4" t="s">
        <v>62</v>
      </c>
    </row>
    <row r="2" spans="1:8" ht="75" customHeight="1" thickBot="1" x14ac:dyDescent="0.25">
      <c r="A2" s="837" t="s">
        <v>1056</v>
      </c>
      <c r="B2" s="838"/>
      <c r="C2" s="123" t="s">
        <v>63</v>
      </c>
      <c r="D2" s="370"/>
    </row>
    <row r="3" spans="1:8" ht="15" thickBot="1" x14ac:dyDescent="0.25">
      <c r="A3" s="824" t="s">
        <v>4</v>
      </c>
      <c r="B3" s="825"/>
      <c r="C3" s="331"/>
      <c r="D3" s="49"/>
      <c r="E3" s="12"/>
      <c r="F3" s="12"/>
      <c r="G3" s="12"/>
      <c r="H3" s="12"/>
    </row>
    <row r="4" spans="1:8" ht="17.100000000000001" customHeight="1" thickBot="1" x14ac:dyDescent="0.25">
      <c r="A4" s="796" t="s">
        <v>64</v>
      </c>
      <c r="B4" s="797"/>
      <c r="C4" s="330"/>
      <c r="D4" s="370"/>
    </row>
    <row r="5" spans="1:8" ht="75" customHeight="1" thickBot="1" x14ac:dyDescent="0.25">
      <c r="A5" s="100" t="s">
        <v>65</v>
      </c>
      <c r="B5" s="114"/>
      <c r="C5" s="330"/>
      <c r="D5" s="370"/>
      <c r="F5" s="4" t="b">
        <f>$B$5="I DISAGREE"</f>
        <v>0</v>
      </c>
    </row>
    <row r="6" spans="1:8" ht="15" customHeight="1" x14ac:dyDescent="0.2">
      <c r="A6" s="822" t="s">
        <v>66</v>
      </c>
      <c r="B6" s="793"/>
      <c r="C6" s="330"/>
      <c r="D6" s="370"/>
    </row>
    <row r="7" spans="1:8" ht="15" customHeight="1" x14ac:dyDescent="0.2">
      <c r="A7" s="371" t="s">
        <v>67</v>
      </c>
      <c r="B7" s="115"/>
      <c r="C7" s="330"/>
      <c r="D7" s="370"/>
    </row>
    <row r="8" spans="1:8" ht="45" customHeight="1" x14ac:dyDescent="0.2">
      <c r="A8" s="829" t="s">
        <v>68</v>
      </c>
      <c r="B8" s="830"/>
      <c r="C8" s="330"/>
      <c r="D8" s="370"/>
    </row>
    <row r="9" spans="1:8" x14ac:dyDescent="0.2">
      <c r="A9" s="831" t="s">
        <v>69</v>
      </c>
      <c r="B9" s="832"/>
      <c r="C9" s="330"/>
      <c r="D9" s="370"/>
    </row>
    <row r="10" spans="1:8" ht="15" customHeight="1" thickBot="1" x14ac:dyDescent="0.25">
      <c r="A10" s="102" t="s">
        <v>70</v>
      </c>
      <c r="B10" s="329"/>
      <c r="C10" s="330"/>
      <c r="D10" s="370"/>
    </row>
    <row r="11" spans="1:8" ht="15" customHeight="1" x14ac:dyDescent="0.2">
      <c r="A11" s="792" t="s">
        <v>71</v>
      </c>
      <c r="B11" s="828"/>
      <c r="C11" s="372"/>
      <c r="D11" s="370"/>
    </row>
    <row r="12" spans="1:8" ht="15" customHeight="1" x14ac:dyDescent="0.2">
      <c r="A12" s="178" t="s">
        <v>72</v>
      </c>
      <c r="B12" s="179" t="s">
        <v>73</v>
      </c>
      <c r="C12" s="332"/>
      <c r="D12" s="370"/>
    </row>
    <row r="13" spans="1:8" ht="15" customHeight="1" x14ac:dyDescent="0.2">
      <c r="A13" s="373" t="s">
        <v>74</v>
      </c>
      <c r="B13" s="116"/>
      <c r="C13" s="210"/>
      <c r="D13" s="5"/>
      <c r="E13" s="5"/>
      <c r="F13" s="5"/>
      <c r="G13" s="5"/>
      <c r="H13" s="5"/>
    </row>
    <row r="14" spans="1:8" ht="15" customHeight="1" x14ac:dyDescent="0.2">
      <c r="A14" s="374" t="s">
        <v>75</v>
      </c>
      <c r="B14" s="116"/>
      <c r="C14" s="210"/>
      <c r="D14" s="5"/>
      <c r="E14" s="5"/>
      <c r="F14" s="5"/>
      <c r="G14" s="5"/>
      <c r="H14" s="5"/>
    </row>
    <row r="15" spans="1:8" ht="15" customHeight="1" x14ac:dyDescent="0.2">
      <c r="A15" s="373" t="s">
        <v>76</v>
      </c>
      <c r="B15" s="116"/>
      <c r="C15" s="210"/>
      <c r="D15" s="5"/>
      <c r="E15" s="5"/>
      <c r="F15" s="5"/>
      <c r="G15" s="5"/>
      <c r="H15" s="5"/>
    </row>
    <row r="16" spans="1:8" ht="15" customHeight="1" x14ac:dyDescent="0.2">
      <c r="A16" s="374" t="s">
        <v>77</v>
      </c>
      <c r="B16" s="117"/>
      <c r="C16" s="210"/>
      <c r="D16" s="5"/>
      <c r="E16" s="5"/>
      <c r="F16" s="5"/>
      <c r="G16" s="5"/>
      <c r="H16" s="5"/>
    </row>
    <row r="17" spans="1:8" ht="15" customHeight="1" x14ac:dyDescent="0.2">
      <c r="A17" s="374" t="s">
        <v>78</v>
      </c>
      <c r="B17" s="116"/>
      <c r="C17" s="210"/>
      <c r="D17" s="5"/>
      <c r="E17" s="5"/>
      <c r="F17" s="5"/>
      <c r="G17" s="5"/>
      <c r="H17" s="5"/>
    </row>
    <row r="18" spans="1:8" ht="15" customHeight="1" x14ac:dyDescent="0.2">
      <c r="A18" s="374" t="s">
        <v>79</v>
      </c>
      <c r="B18" s="116"/>
      <c r="C18" s="210"/>
      <c r="D18" s="5"/>
      <c r="E18" s="5"/>
      <c r="F18" s="5"/>
      <c r="G18" s="5"/>
      <c r="H18" s="5"/>
    </row>
    <row r="19" spans="1:8" ht="15" customHeight="1" x14ac:dyDescent="0.2">
      <c r="A19" s="374" t="s">
        <v>80</v>
      </c>
      <c r="B19" s="116"/>
      <c r="C19" s="210"/>
      <c r="D19" s="5"/>
      <c r="E19" s="5"/>
      <c r="F19" s="5"/>
      <c r="G19" s="5"/>
      <c r="H19" s="5"/>
    </row>
    <row r="20" spans="1:8" ht="15" customHeight="1" x14ac:dyDescent="0.2">
      <c r="A20" s="373" t="s">
        <v>81</v>
      </c>
      <c r="B20" s="116"/>
      <c r="C20" s="210"/>
      <c r="D20" s="5"/>
      <c r="E20" s="5"/>
      <c r="F20" s="5"/>
      <c r="G20" s="5"/>
      <c r="H20" s="5"/>
    </row>
    <row r="21" spans="1:8" ht="15" customHeight="1" x14ac:dyDescent="0.2">
      <c r="A21" s="373" t="s">
        <v>82</v>
      </c>
      <c r="B21" s="116"/>
      <c r="C21" s="210"/>
      <c r="D21" s="5"/>
      <c r="E21" s="5"/>
      <c r="F21" s="5"/>
      <c r="G21" s="5"/>
      <c r="H21" s="5"/>
    </row>
    <row r="22" spans="1:8" ht="15" customHeight="1" x14ac:dyDescent="0.2">
      <c r="A22" s="374" t="s">
        <v>83</v>
      </c>
      <c r="B22" s="116"/>
      <c r="C22" s="210"/>
      <c r="D22" s="5"/>
      <c r="E22" s="5"/>
      <c r="F22" s="5"/>
      <c r="G22" s="5"/>
      <c r="H22" s="5"/>
    </row>
    <row r="23" spans="1:8" ht="15" customHeight="1" x14ac:dyDescent="0.2">
      <c r="A23" s="374" t="s">
        <v>84</v>
      </c>
      <c r="B23" s="116"/>
      <c r="C23" s="210"/>
      <c r="D23" s="5"/>
      <c r="E23" s="5"/>
      <c r="F23" s="5"/>
      <c r="G23" s="5"/>
      <c r="H23" s="5"/>
    </row>
    <row r="24" spans="1:8" ht="15" customHeight="1" thickBot="1" x14ac:dyDescent="0.25">
      <c r="A24" s="375" t="s">
        <v>85</v>
      </c>
      <c r="B24" s="211"/>
      <c r="C24" s="210"/>
      <c r="D24" s="5"/>
      <c r="E24" s="5"/>
      <c r="F24" s="5"/>
      <c r="G24" s="5"/>
      <c r="H24" s="5"/>
    </row>
    <row r="25" spans="1:8" ht="30" customHeight="1" x14ac:dyDescent="0.2">
      <c r="A25" s="807" t="s">
        <v>86</v>
      </c>
      <c r="B25" s="808"/>
      <c r="C25" s="372"/>
      <c r="D25" s="370"/>
    </row>
    <row r="26" spans="1:8" ht="15" x14ac:dyDescent="0.2">
      <c r="A26" s="178" t="s">
        <v>72</v>
      </c>
      <c r="B26" s="212" t="s">
        <v>73</v>
      </c>
      <c r="C26" s="376"/>
      <c r="D26" s="370"/>
    </row>
    <row r="27" spans="1:8" ht="15" customHeight="1" x14ac:dyDescent="0.2">
      <c r="A27" s="373" t="s">
        <v>74</v>
      </c>
      <c r="B27" s="116"/>
      <c r="C27" s="210"/>
      <c r="D27" s="5"/>
      <c r="E27" s="5"/>
      <c r="F27" s="5"/>
      <c r="G27" s="5"/>
      <c r="H27" s="5"/>
    </row>
    <row r="28" spans="1:8" ht="15" customHeight="1" x14ac:dyDescent="0.2">
      <c r="A28" s="374" t="s">
        <v>75</v>
      </c>
      <c r="B28" s="116"/>
      <c r="C28" s="210"/>
      <c r="D28" s="5"/>
      <c r="E28" s="5"/>
      <c r="F28" s="5"/>
      <c r="G28" s="5"/>
      <c r="H28" s="5"/>
    </row>
    <row r="29" spans="1:8" ht="15" customHeight="1" x14ac:dyDescent="0.2">
      <c r="A29" s="373" t="s">
        <v>76</v>
      </c>
      <c r="B29" s="116"/>
      <c r="C29" s="210"/>
      <c r="D29" s="5"/>
      <c r="E29" s="5"/>
      <c r="F29" s="5"/>
      <c r="G29" s="5"/>
      <c r="H29" s="5"/>
    </row>
    <row r="30" spans="1:8" ht="15" customHeight="1" x14ac:dyDescent="0.2">
      <c r="A30" s="374" t="s">
        <v>77</v>
      </c>
      <c r="B30" s="117"/>
      <c r="C30" s="210"/>
      <c r="D30" s="5"/>
      <c r="E30" s="5"/>
      <c r="F30" s="5"/>
      <c r="G30" s="5"/>
      <c r="H30" s="5"/>
    </row>
    <row r="31" spans="1:8" ht="15" customHeight="1" x14ac:dyDescent="0.2">
      <c r="A31" s="374" t="s">
        <v>67</v>
      </c>
      <c r="B31" s="116"/>
      <c r="C31" s="210"/>
      <c r="D31" s="5"/>
      <c r="E31" s="5"/>
      <c r="F31" s="5"/>
      <c r="G31" s="5"/>
      <c r="H31" s="5"/>
    </row>
    <row r="32" spans="1:8" ht="15" customHeight="1" x14ac:dyDescent="0.2">
      <c r="A32" s="374" t="s">
        <v>78</v>
      </c>
      <c r="B32" s="116"/>
      <c r="C32" s="210"/>
      <c r="D32" s="5"/>
      <c r="E32" s="5"/>
      <c r="F32" s="5"/>
      <c r="G32" s="5"/>
      <c r="H32" s="5"/>
    </row>
    <row r="33" spans="1:8" ht="15" customHeight="1" x14ac:dyDescent="0.2">
      <c r="A33" s="374" t="s">
        <v>79</v>
      </c>
      <c r="B33" s="116"/>
      <c r="C33" s="210"/>
      <c r="D33" s="5"/>
      <c r="E33" s="5"/>
      <c r="F33" s="5"/>
      <c r="G33" s="5"/>
      <c r="H33" s="5"/>
    </row>
    <row r="34" spans="1:8" ht="15" customHeight="1" x14ac:dyDescent="0.2">
      <c r="A34" s="374" t="s">
        <v>80</v>
      </c>
      <c r="B34" s="116"/>
      <c r="C34" s="210"/>
      <c r="D34" s="5"/>
      <c r="E34" s="5"/>
      <c r="F34" s="5"/>
      <c r="G34" s="5"/>
      <c r="H34" s="5"/>
    </row>
    <row r="35" spans="1:8" ht="15" customHeight="1" x14ac:dyDescent="0.2">
      <c r="A35" s="373" t="s">
        <v>81</v>
      </c>
      <c r="B35" s="116"/>
      <c r="C35" s="210"/>
      <c r="D35" s="5"/>
      <c r="E35" s="5"/>
      <c r="F35" s="5"/>
      <c r="G35" s="5"/>
      <c r="H35" s="5"/>
    </row>
    <row r="36" spans="1:8" ht="15" customHeight="1" x14ac:dyDescent="0.2">
      <c r="A36" s="373" t="s">
        <v>82</v>
      </c>
      <c r="B36" s="230"/>
      <c r="C36" s="210"/>
      <c r="D36" s="5"/>
      <c r="E36" s="5"/>
      <c r="F36" s="5"/>
      <c r="G36" s="5"/>
      <c r="H36" s="5"/>
    </row>
    <row r="37" spans="1:8" ht="15" customHeight="1" x14ac:dyDescent="0.2">
      <c r="A37" s="374" t="s">
        <v>83</v>
      </c>
      <c r="B37" s="230"/>
      <c r="C37" s="210"/>
      <c r="D37" s="5"/>
      <c r="E37" s="5"/>
      <c r="F37" s="5"/>
      <c r="G37" s="5"/>
      <c r="H37" s="5"/>
    </row>
    <row r="38" spans="1:8" ht="15" customHeight="1" x14ac:dyDescent="0.2">
      <c r="A38" s="374" t="s">
        <v>84</v>
      </c>
      <c r="B38" s="230"/>
      <c r="C38" s="210"/>
      <c r="D38" s="5"/>
      <c r="E38" s="5"/>
      <c r="F38" s="5"/>
      <c r="G38" s="5"/>
      <c r="H38" s="5"/>
    </row>
    <row r="39" spans="1:8" ht="15" customHeight="1" thickBot="1" x14ac:dyDescent="0.25">
      <c r="A39" s="375" t="s">
        <v>85</v>
      </c>
      <c r="B39" s="211"/>
      <c r="C39" s="210"/>
      <c r="D39" s="5"/>
      <c r="E39" s="5"/>
      <c r="F39" s="5"/>
      <c r="G39" s="5"/>
      <c r="H39" s="5"/>
    </row>
    <row r="40" spans="1:8" ht="15" customHeight="1" x14ac:dyDescent="0.2">
      <c r="A40" s="822" t="s">
        <v>87</v>
      </c>
      <c r="B40" s="823"/>
      <c r="C40" s="372"/>
      <c r="D40" s="370"/>
    </row>
    <row r="41" spans="1:8" ht="15" customHeight="1" x14ac:dyDescent="0.2">
      <c r="A41" s="178" t="s">
        <v>72</v>
      </c>
      <c r="B41" s="212" t="s">
        <v>73</v>
      </c>
      <c r="C41" s="376"/>
      <c r="D41" s="370"/>
    </row>
    <row r="42" spans="1:8" ht="60" customHeight="1" x14ac:dyDescent="0.2">
      <c r="A42" s="213" t="s">
        <v>88</v>
      </c>
      <c r="B42" s="333"/>
      <c r="C42" s="376"/>
      <c r="D42" s="370"/>
    </row>
    <row r="43" spans="1:8" ht="90" customHeight="1" x14ac:dyDescent="0.2">
      <c r="A43" s="214" t="s">
        <v>89</v>
      </c>
      <c r="B43" s="130"/>
      <c r="C43" s="376"/>
      <c r="D43" s="370"/>
    </row>
    <row r="44" spans="1:8" ht="28.5" x14ac:dyDescent="0.2">
      <c r="A44" s="214" t="s">
        <v>90</v>
      </c>
      <c r="B44" s="230"/>
      <c r="C44" s="376"/>
      <c r="D44" s="370"/>
    </row>
    <row r="45" spans="1:8" ht="30" customHeight="1" x14ac:dyDescent="0.2">
      <c r="A45" s="191" t="s">
        <v>91</v>
      </c>
      <c r="B45" s="215"/>
      <c r="C45" s="376"/>
      <c r="D45" s="370"/>
      <c r="E45" s="4" t="b">
        <f>$B$44="NO"</f>
        <v>0</v>
      </c>
    </row>
    <row r="46" spans="1:8" ht="15" customHeight="1" thickBot="1" x14ac:dyDescent="0.25">
      <c r="A46" s="824" t="s">
        <v>4</v>
      </c>
      <c r="B46" s="825"/>
      <c r="C46" s="120"/>
      <c r="D46" s="4"/>
    </row>
    <row r="47" spans="1:8" ht="17.100000000000001" customHeight="1" thickBot="1" x14ac:dyDescent="0.25">
      <c r="A47" s="800" t="s">
        <v>92</v>
      </c>
      <c r="B47" s="801"/>
      <c r="C47" s="372"/>
      <c r="D47" s="370"/>
    </row>
    <row r="48" spans="1:8" ht="15" customHeight="1" x14ac:dyDescent="0.2">
      <c r="A48" s="792" t="s">
        <v>93</v>
      </c>
      <c r="B48" s="793"/>
      <c r="C48" s="372"/>
      <c r="D48" s="370"/>
    </row>
    <row r="49" spans="1:4" ht="15" customHeight="1" x14ac:dyDescent="0.2">
      <c r="A49" s="178" t="s">
        <v>72</v>
      </c>
      <c r="B49" s="212" t="s">
        <v>73</v>
      </c>
      <c r="C49" s="376"/>
      <c r="D49" s="370"/>
    </row>
    <row r="50" spans="1:4" ht="15" customHeight="1" x14ac:dyDescent="0.2">
      <c r="A50" s="241" t="s">
        <v>94</v>
      </c>
      <c r="B50" s="110"/>
      <c r="C50" s="376"/>
      <c r="D50" s="370"/>
    </row>
    <row r="51" spans="1:4" ht="15" customHeight="1" x14ac:dyDescent="0.2">
      <c r="A51" s="151" t="s">
        <v>96</v>
      </c>
      <c r="B51" s="116"/>
      <c r="C51" s="376"/>
      <c r="D51" s="370"/>
    </row>
    <row r="52" spans="1:4" ht="30" customHeight="1" x14ac:dyDescent="0.2">
      <c r="A52" s="151" t="s">
        <v>97</v>
      </c>
      <c r="B52" s="116"/>
      <c r="C52" s="376"/>
      <c r="D52" s="370"/>
    </row>
    <row r="53" spans="1:4" ht="30" customHeight="1" x14ac:dyDescent="0.2">
      <c r="A53" s="151" t="s">
        <v>98</v>
      </c>
      <c r="B53" s="230"/>
      <c r="C53" s="376"/>
      <c r="D53" s="370"/>
    </row>
    <row r="54" spans="1:4" ht="60" customHeight="1" thickBot="1" x14ac:dyDescent="0.25">
      <c r="A54" s="151" t="s">
        <v>99</v>
      </c>
      <c r="B54" s="116"/>
      <c r="C54" s="376"/>
      <c r="D54" s="370"/>
    </row>
    <row r="55" spans="1:4" ht="15" customHeight="1" x14ac:dyDescent="0.2">
      <c r="A55" s="826" t="s">
        <v>100</v>
      </c>
      <c r="B55" s="827"/>
      <c r="C55" s="372"/>
      <c r="D55" s="370"/>
    </row>
    <row r="56" spans="1:4" ht="15" customHeight="1" x14ac:dyDescent="0.2">
      <c r="A56" s="377" t="s">
        <v>101</v>
      </c>
      <c r="B56" s="111"/>
      <c r="C56" s="372"/>
      <c r="D56" s="370"/>
    </row>
    <row r="57" spans="1:4" ht="60" customHeight="1" x14ac:dyDescent="0.2">
      <c r="A57" s="371" t="s">
        <v>102</v>
      </c>
      <c r="B57" s="230"/>
      <c r="C57" s="372"/>
      <c r="D57" s="370"/>
    </row>
    <row r="58" spans="1:4" ht="15" customHeight="1" thickBot="1" x14ac:dyDescent="0.25">
      <c r="A58" s="366" t="s">
        <v>103</v>
      </c>
      <c r="B58" s="140"/>
      <c r="C58" s="372"/>
      <c r="D58" s="370"/>
    </row>
    <row r="59" spans="1:4" ht="15" customHeight="1" x14ac:dyDescent="0.2">
      <c r="A59" s="101" t="s">
        <v>104</v>
      </c>
      <c r="B59" s="170"/>
      <c r="C59" s="372"/>
      <c r="D59" s="370"/>
    </row>
    <row r="60" spans="1:4" ht="15" customHeight="1" x14ac:dyDescent="0.2">
      <c r="A60" s="368" t="s">
        <v>105</v>
      </c>
      <c r="B60" s="115"/>
      <c r="C60" s="372"/>
      <c r="D60" s="370"/>
    </row>
    <row r="61" spans="1:4" ht="15" customHeight="1" x14ac:dyDescent="0.2">
      <c r="A61" s="820" t="s">
        <v>106</v>
      </c>
      <c r="B61" s="821"/>
      <c r="C61" s="372"/>
      <c r="D61" s="370"/>
    </row>
    <row r="62" spans="1:4" ht="15" customHeight="1" x14ac:dyDescent="0.2">
      <c r="A62" s="833" t="s">
        <v>107</v>
      </c>
      <c r="B62" s="834"/>
      <c r="C62" s="372"/>
      <c r="D62" s="370"/>
    </row>
    <row r="63" spans="1:4" ht="15" customHeight="1" x14ac:dyDescent="0.2">
      <c r="A63" s="367" t="s">
        <v>108</v>
      </c>
      <c r="B63" s="230"/>
      <c r="C63" s="372"/>
      <c r="D63" s="370"/>
    </row>
    <row r="64" spans="1:4" ht="15" customHeight="1" x14ac:dyDescent="0.2">
      <c r="A64" s="816" t="s">
        <v>109</v>
      </c>
      <c r="B64" s="817"/>
      <c r="C64" s="372"/>
      <c r="D64" s="370"/>
    </row>
    <row r="65" spans="1:4" ht="15" customHeight="1" x14ac:dyDescent="0.2">
      <c r="A65" s="818" t="s">
        <v>110</v>
      </c>
      <c r="B65" s="819"/>
      <c r="C65" s="372"/>
      <c r="D65" s="370"/>
    </row>
    <row r="66" spans="1:4" ht="15" customHeight="1" thickBot="1" x14ac:dyDescent="0.25">
      <c r="A66" s="378" t="s">
        <v>111</v>
      </c>
      <c r="B66" s="379"/>
      <c r="C66" s="372"/>
      <c r="D66" s="370"/>
    </row>
    <row r="67" spans="1:4" ht="15" customHeight="1" x14ac:dyDescent="0.2">
      <c r="A67" s="101" t="s">
        <v>112</v>
      </c>
      <c r="B67" s="170"/>
      <c r="C67" s="372"/>
      <c r="D67" s="370"/>
    </row>
    <row r="68" spans="1:4" ht="15" customHeight="1" x14ac:dyDescent="0.2">
      <c r="A68" s="809" t="s">
        <v>113</v>
      </c>
      <c r="B68" s="810"/>
      <c r="C68" s="372"/>
      <c r="D68" s="370"/>
    </row>
    <row r="69" spans="1:4" ht="15" customHeight="1" x14ac:dyDescent="0.2">
      <c r="A69" s="811" t="s">
        <v>114</v>
      </c>
      <c r="B69" s="812"/>
      <c r="C69" s="372"/>
      <c r="D69" s="370"/>
    </row>
    <row r="70" spans="1:4" ht="15" customHeight="1" x14ac:dyDescent="0.2">
      <c r="A70" s="368" t="s">
        <v>115</v>
      </c>
      <c r="B70" s="115"/>
      <c r="C70" s="372"/>
      <c r="D70" s="370"/>
    </row>
    <row r="71" spans="1:4" ht="15" customHeight="1" x14ac:dyDescent="0.2">
      <c r="A71" s="368" t="s">
        <v>116</v>
      </c>
      <c r="B71" s="116"/>
      <c r="C71" s="372"/>
      <c r="D71" s="370"/>
    </row>
    <row r="72" spans="1:4" ht="15" customHeight="1" x14ac:dyDescent="0.2">
      <c r="A72" s="367" t="s">
        <v>117</v>
      </c>
      <c r="B72" s="115"/>
      <c r="C72" s="372"/>
      <c r="D72" s="370"/>
    </row>
    <row r="73" spans="1:4" ht="15" customHeight="1" thickBot="1" x14ac:dyDescent="0.25">
      <c r="A73" s="378" t="s">
        <v>116</v>
      </c>
      <c r="B73" s="118"/>
      <c r="C73" s="372"/>
      <c r="D73" s="370"/>
    </row>
    <row r="74" spans="1:4" ht="15" customHeight="1" thickBot="1" x14ac:dyDescent="0.25">
      <c r="A74" s="803" t="s">
        <v>4</v>
      </c>
      <c r="B74" s="804"/>
      <c r="C74" s="372"/>
      <c r="D74" s="370"/>
    </row>
    <row r="75" spans="1:4" ht="17.100000000000001" customHeight="1" thickBot="1" x14ac:dyDescent="0.25">
      <c r="A75" s="800" t="s">
        <v>118</v>
      </c>
      <c r="B75" s="813"/>
      <c r="C75" s="372"/>
      <c r="D75" s="370"/>
    </row>
    <row r="76" spans="1:4" ht="15" customHeight="1" x14ac:dyDescent="0.2">
      <c r="A76" s="168" t="s">
        <v>119</v>
      </c>
      <c r="B76" s="169"/>
      <c r="C76" s="372"/>
      <c r="D76" s="370"/>
    </row>
    <row r="77" spans="1:4" ht="15" hidden="1" customHeight="1" x14ac:dyDescent="0.2">
      <c r="A77" s="377" t="s">
        <v>120</v>
      </c>
      <c r="B77" s="185" t="s">
        <v>1011</v>
      </c>
      <c r="C77" s="372"/>
      <c r="D77" s="370"/>
    </row>
    <row r="78" spans="1:4" ht="15" customHeight="1" x14ac:dyDescent="0.2">
      <c r="A78" s="368" t="s">
        <v>121</v>
      </c>
      <c r="B78" s="110"/>
      <c r="C78" s="648"/>
      <c r="D78" s="370"/>
    </row>
    <row r="79" spans="1:4" ht="15" customHeight="1" x14ac:dyDescent="0.2">
      <c r="A79" s="103" t="s">
        <v>122</v>
      </c>
      <c r="B79" s="110"/>
      <c r="C79" s="648"/>
      <c r="D79" s="370"/>
    </row>
    <row r="80" spans="1:4" ht="150" customHeight="1" thickBot="1" x14ac:dyDescent="0.25">
      <c r="A80" s="102" t="s">
        <v>123</v>
      </c>
      <c r="B80" s="118"/>
      <c r="C80" s="372"/>
      <c r="D80" s="370"/>
    </row>
    <row r="81" spans="1:8" ht="48.75" customHeight="1" x14ac:dyDescent="0.2">
      <c r="A81" s="814" t="s">
        <v>124</v>
      </c>
      <c r="B81" s="815"/>
      <c r="C81" s="372"/>
      <c r="D81" s="370"/>
    </row>
    <row r="82" spans="1:8" ht="15" customHeight="1" x14ac:dyDescent="0.2">
      <c r="A82" s="377" t="s">
        <v>125</v>
      </c>
      <c r="B82" s="119"/>
      <c r="C82" s="372"/>
      <c r="D82" s="370"/>
    </row>
    <row r="83" spans="1:8" ht="15" customHeight="1" thickBot="1" x14ac:dyDescent="0.25">
      <c r="A83" s="380" t="s">
        <v>126</v>
      </c>
      <c r="B83" s="381"/>
      <c r="C83" s="372"/>
      <c r="D83" s="370"/>
    </row>
    <row r="84" spans="1:8" ht="15" customHeight="1" x14ac:dyDescent="0.2">
      <c r="A84" s="792" t="s">
        <v>127</v>
      </c>
      <c r="B84" s="793"/>
      <c r="C84" s="372"/>
      <c r="D84" s="370"/>
    </row>
    <row r="85" spans="1:8" ht="30" customHeight="1" x14ac:dyDescent="0.2">
      <c r="A85" s="371" t="s">
        <v>128</v>
      </c>
      <c r="B85" s="230"/>
      <c r="C85" s="372"/>
      <c r="D85" s="370"/>
    </row>
    <row r="86" spans="1:8" ht="46.5" customHeight="1" thickBot="1" x14ac:dyDescent="0.25">
      <c r="A86" s="378" t="s">
        <v>129</v>
      </c>
      <c r="B86" s="379"/>
      <c r="C86" s="372"/>
      <c r="D86" s="370"/>
      <c r="E86" s="4" t="b">
        <f>$B$85="NO"</f>
        <v>0</v>
      </c>
    </row>
    <row r="87" spans="1:8" ht="15" customHeight="1" x14ac:dyDescent="0.2">
      <c r="A87" s="807" t="s">
        <v>130</v>
      </c>
      <c r="B87" s="808"/>
      <c r="C87" s="372"/>
      <c r="D87" s="370"/>
    </row>
    <row r="88" spans="1:8" ht="75" customHeight="1" thickBot="1" x14ac:dyDescent="0.25">
      <c r="A88" s="104" t="s">
        <v>131</v>
      </c>
      <c r="B88" s="118"/>
      <c r="C88" s="372"/>
      <c r="D88" s="370"/>
    </row>
    <row r="89" spans="1:8" ht="15" customHeight="1" thickBot="1" x14ac:dyDescent="0.25">
      <c r="A89" s="803" t="s">
        <v>4</v>
      </c>
      <c r="B89" s="804"/>
      <c r="C89" s="120"/>
      <c r="D89" s="4"/>
    </row>
    <row r="90" spans="1:8" ht="17.100000000000001" customHeight="1" thickBot="1" x14ac:dyDescent="0.25">
      <c r="A90" s="800" t="s">
        <v>132</v>
      </c>
      <c r="B90" s="801"/>
      <c r="C90" s="122"/>
      <c r="D90" s="14"/>
      <c r="E90" s="14"/>
      <c r="F90" s="14"/>
      <c r="G90" s="14"/>
      <c r="H90" s="14"/>
    </row>
    <row r="91" spans="1:8" ht="50.1" customHeight="1" thickBot="1" x14ac:dyDescent="0.25">
      <c r="A91" s="805" t="s">
        <v>133</v>
      </c>
      <c r="B91" s="806"/>
      <c r="C91" s="120"/>
      <c r="D91" s="4"/>
    </row>
    <row r="92" spans="1:8" ht="15" customHeight="1" x14ac:dyDescent="0.2">
      <c r="A92" s="794" t="s">
        <v>134</v>
      </c>
      <c r="B92" s="795"/>
      <c r="C92" s="372"/>
      <c r="D92" s="370"/>
    </row>
    <row r="93" spans="1:8" ht="30" customHeight="1" x14ac:dyDescent="0.2">
      <c r="A93" s="371" t="s">
        <v>135</v>
      </c>
      <c r="B93" s="111"/>
      <c r="C93" s="372"/>
      <c r="D93" s="370"/>
      <c r="F93" s="4" t="b">
        <f>$B$93="NO"</f>
        <v>0</v>
      </c>
    </row>
    <row r="94" spans="1:8" ht="60" customHeight="1" thickBot="1" x14ac:dyDescent="0.25">
      <c r="A94" s="105" t="s">
        <v>136</v>
      </c>
      <c r="B94" s="118"/>
      <c r="C94" s="372"/>
      <c r="D94" s="370"/>
    </row>
    <row r="95" spans="1:8" ht="15" customHeight="1" x14ac:dyDescent="0.2">
      <c r="A95" s="794" t="s">
        <v>137</v>
      </c>
      <c r="B95" s="795"/>
      <c r="C95" s="372"/>
      <c r="D95" s="370"/>
    </row>
    <row r="96" spans="1:8" ht="15" customHeight="1" x14ac:dyDescent="0.2">
      <c r="A96" s="371" t="s">
        <v>138</v>
      </c>
      <c r="B96" s="111"/>
      <c r="C96" s="372"/>
      <c r="D96" s="370"/>
    </row>
    <row r="97" spans="1:5" ht="60" customHeight="1" thickBot="1" x14ac:dyDescent="0.25">
      <c r="A97" s="105" t="s">
        <v>139</v>
      </c>
      <c r="B97" s="379"/>
      <c r="C97" s="372"/>
      <c r="D97" s="370"/>
      <c r="E97" s="4" t="b">
        <f>$B$96="NO"</f>
        <v>0</v>
      </c>
    </row>
    <row r="98" spans="1:5" ht="15" customHeight="1" x14ac:dyDescent="0.2">
      <c r="A98" s="794" t="s">
        <v>140</v>
      </c>
      <c r="B98" s="795"/>
      <c r="C98" s="372"/>
      <c r="D98" s="370"/>
    </row>
    <row r="99" spans="1:5" ht="15" customHeight="1" x14ac:dyDescent="0.2">
      <c r="A99" s="371" t="s">
        <v>141</v>
      </c>
      <c r="B99" s="111"/>
      <c r="C99" s="372"/>
      <c r="D99" s="370"/>
    </row>
    <row r="100" spans="1:5" ht="60" customHeight="1" thickBot="1" x14ac:dyDescent="0.25">
      <c r="A100" s="105" t="s">
        <v>139</v>
      </c>
      <c r="B100" s="118"/>
      <c r="C100" s="372"/>
      <c r="D100" s="370"/>
      <c r="E100" s="4" t="b">
        <f>$B$99="NO"</f>
        <v>0</v>
      </c>
    </row>
    <row r="101" spans="1:5" ht="15" customHeight="1" x14ac:dyDescent="0.2">
      <c r="A101" s="794" t="s">
        <v>142</v>
      </c>
      <c r="B101" s="795"/>
      <c r="C101" s="372"/>
      <c r="D101" s="370"/>
    </row>
    <row r="102" spans="1:5" ht="15" customHeight="1" x14ac:dyDescent="0.2">
      <c r="A102" s="371" t="s">
        <v>143</v>
      </c>
      <c r="B102" s="111"/>
      <c r="C102" s="372"/>
      <c r="D102" s="370"/>
    </row>
    <row r="103" spans="1:5" ht="60" customHeight="1" thickBot="1" x14ac:dyDescent="0.25">
      <c r="A103" s="105" t="s">
        <v>139</v>
      </c>
      <c r="B103" s="379"/>
      <c r="C103" s="372"/>
      <c r="D103" s="370"/>
      <c r="E103" s="4" t="b">
        <f>$B$102="NO"</f>
        <v>0</v>
      </c>
    </row>
    <row r="104" spans="1:5" ht="15" customHeight="1" x14ac:dyDescent="0.2">
      <c r="A104" s="794" t="s">
        <v>144</v>
      </c>
      <c r="B104" s="795"/>
      <c r="C104" s="372"/>
      <c r="D104" s="370"/>
    </row>
    <row r="105" spans="1:5" ht="15" customHeight="1" x14ac:dyDescent="0.2">
      <c r="A105" s="371" t="s">
        <v>145</v>
      </c>
      <c r="B105" s="111"/>
      <c r="C105" s="372"/>
      <c r="D105" s="370"/>
    </row>
    <row r="106" spans="1:5" ht="60" customHeight="1" thickBot="1" x14ac:dyDescent="0.25">
      <c r="A106" s="105" t="s">
        <v>139</v>
      </c>
      <c r="B106" s="118"/>
      <c r="C106" s="372"/>
      <c r="D106" s="370"/>
      <c r="E106" s="4" t="b">
        <f>$B$105="NO"</f>
        <v>0</v>
      </c>
    </row>
    <row r="107" spans="1:5" ht="15" customHeight="1" x14ac:dyDescent="0.2">
      <c r="A107" s="794" t="s">
        <v>146</v>
      </c>
      <c r="B107" s="795"/>
      <c r="C107" s="372"/>
      <c r="D107" s="370"/>
    </row>
    <row r="108" spans="1:5" ht="15" customHeight="1" x14ac:dyDescent="0.2">
      <c r="A108" s="371" t="s">
        <v>147</v>
      </c>
      <c r="B108" s="111"/>
      <c r="C108" s="372"/>
      <c r="D108" s="370"/>
    </row>
    <row r="109" spans="1:5" ht="60" customHeight="1" thickBot="1" x14ac:dyDescent="0.25">
      <c r="A109" s="105" t="s">
        <v>139</v>
      </c>
      <c r="B109" s="118"/>
      <c r="C109" s="372"/>
      <c r="D109" s="370"/>
      <c r="E109" s="4" t="b">
        <f>$B$108="NO"</f>
        <v>0</v>
      </c>
    </row>
    <row r="110" spans="1:5" ht="15" customHeight="1" thickBot="1" x14ac:dyDescent="0.25">
      <c r="A110" s="803" t="s">
        <v>4</v>
      </c>
      <c r="B110" s="804"/>
      <c r="C110" s="372"/>
      <c r="D110" s="370"/>
    </row>
    <row r="111" spans="1:5" ht="17.100000000000001" customHeight="1" thickBot="1" x14ac:dyDescent="0.25">
      <c r="A111" s="796" t="s">
        <v>148</v>
      </c>
      <c r="B111" s="797"/>
      <c r="C111" s="372"/>
      <c r="D111" s="370"/>
    </row>
    <row r="112" spans="1:5" ht="15" customHeight="1" x14ac:dyDescent="0.2">
      <c r="A112" s="792" t="s">
        <v>149</v>
      </c>
      <c r="B112" s="793"/>
      <c r="C112" s="372"/>
      <c r="D112" s="370"/>
    </row>
    <row r="113" spans="1:6" ht="15" customHeight="1" x14ac:dyDescent="0.2">
      <c r="A113" s="377" t="s">
        <v>150</v>
      </c>
      <c r="B113" s="230"/>
      <c r="C113" s="372"/>
      <c r="D113" s="370"/>
    </row>
    <row r="114" spans="1:6" ht="30" customHeight="1" x14ac:dyDescent="0.2">
      <c r="A114" s="107" t="s">
        <v>1102</v>
      </c>
      <c r="B114" s="230"/>
      <c r="C114" s="372"/>
      <c r="D114" s="370"/>
      <c r="E114" s="4" t="b">
        <f>$B$113="NO"</f>
        <v>0</v>
      </c>
      <c r="F114" s="4" t="b">
        <f>$B$114="NO"</f>
        <v>0</v>
      </c>
    </row>
    <row r="115" spans="1:6" ht="45" customHeight="1" x14ac:dyDescent="0.2">
      <c r="A115" s="786" t="s">
        <v>1103</v>
      </c>
      <c r="B115" s="802"/>
      <c r="C115" s="372"/>
      <c r="D115" s="370"/>
      <c r="E115" s="4" t="b">
        <f>$E$114</f>
        <v>0</v>
      </c>
    </row>
    <row r="116" spans="1:6" ht="15" customHeight="1" thickBot="1" x14ac:dyDescent="0.25">
      <c r="A116" s="784" t="s">
        <v>151</v>
      </c>
      <c r="B116" s="785"/>
      <c r="C116" s="372"/>
      <c r="D116" s="370"/>
      <c r="E116" s="4" t="b">
        <f>$E$114</f>
        <v>0</v>
      </c>
    </row>
    <row r="117" spans="1:6" ht="15" customHeight="1" x14ac:dyDescent="0.2">
      <c r="A117" s="106" t="s">
        <v>152</v>
      </c>
      <c r="B117" s="382"/>
      <c r="C117" s="372"/>
      <c r="D117" s="370"/>
      <c r="F117" s="4" t="b">
        <f t="shared" ref="F117:F125" si="0">$B117="NO"</f>
        <v>0</v>
      </c>
    </row>
    <row r="118" spans="1:6" ht="75" customHeight="1" x14ac:dyDescent="0.2">
      <c r="A118" s="383" t="s">
        <v>153</v>
      </c>
      <c r="B118" s="384"/>
      <c r="C118" s="372"/>
      <c r="D118" s="370"/>
      <c r="F118" s="4" t="b">
        <f t="shared" si="0"/>
        <v>0</v>
      </c>
    </row>
    <row r="119" spans="1:6" ht="15" customHeight="1" thickBot="1" x14ac:dyDescent="0.25">
      <c r="A119" s="385" t="s">
        <v>154</v>
      </c>
      <c r="B119" s="384"/>
      <c r="C119" s="372"/>
      <c r="D119" s="370"/>
      <c r="F119" s="4" t="b">
        <f t="shared" si="0"/>
        <v>0</v>
      </c>
    </row>
    <row r="120" spans="1:6" ht="15" customHeight="1" x14ac:dyDescent="0.2">
      <c r="A120" s="101" t="s">
        <v>155</v>
      </c>
      <c r="B120" s="128"/>
      <c r="C120" s="372"/>
      <c r="D120" s="370"/>
      <c r="F120" s="4" t="b">
        <f t="shared" si="0"/>
        <v>0</v>
      </c>
    </row>
    <row r="121" spans="1:6" ht="45" customHeight="1" x14ac:dyDescent="0.2">
      <c r="A121" s="383" t="s">
        <v>156</v>
      </c>
      <c r="B121" s="111"/>
      <c r="C121" s="372"/>
      <c r="D121" s="370"/>
      <c r="F121" s="4" t="b">
        <f t="shared" si="0"/>
        <v>0</v>
      </c>
    </row>
    <row r="122" spans="1:6" ht="45" customHeight="1" x14ac:dyDescent="0.2">
      <c r="A122" s="383" t="s">
        <v>157</v>
      </c>
      <c r="B122" s="382"/>
      <c r="C122" s="372"/>
      <c r="D122" s="370"/>
      <c r="F122" s="4" t="b">
        <f t="shared" si="0"/>
        <v>0</v>
      </c>
    </row>
    <row r="123" spans="1:6" ht="60" customHeight="1" thickBot="1" x14ac:dyDescent="0.25">
      <c r="A123" s="378" t="s">
        <v>158</v>
      </c>
      <c r="B123" s="140"/>
      <c r="C123" s="372"/>
      <c r="D123" s="370"/>
      <c r="F123" s="4" t="b">
        <f t="shared" si="0"/>
        <v>0</v>
      </c>
    </row>
    <row r="124" spans="1:6" ht="15" x14ac:dyDescent="0.2">
      <c r="A124" s="101" t="s">
        <v>1059</v>
      </c>
      <c r="B124" s="128"/>
      <c r="C124" s="372"/>
      <c r="D124" s="370"/>
      <c r="F124" s="4" t="b">
        <f t="shared" si="0"/>
        <v>0</v>
      </c>
    </row>
    <row r="125" spans="1:6" ht="100.5" thickBot="1" x14ac:dyDescent="0.25">
      <c r="A125" s="378" t="s">
        <v>1058</v>
      </c>
      <c r="B125" s="140"/>
      <c r="C125" s="372"/>
      <c r="D125" s="370"/>
      <c r="F125" s="4" t="b">
        <f t="shared" si="0"/>
        <v>0</v>
      </c>
    </row>
    <row r="126" spans="1:6" ht="15" x14ac:dyDescent="0.2">
      <c r="A126" s="703" t="s">
        <v>1098</v>
      </c>
      <c r="B126" s="701"/>
      <c r="C126" s="372"/>
      <c r="D126" s="370"/>
    </row>
    <row r="127" spans="1:6" x14ac:dyDescent="0.2">
      <c r="A127" s="702" t="s">
        <v>1095</v>
      </c>
      <c r="B127" s="704"/>
      <c r="C127" s="372"/>
      <c r="D127" s="370"/>
    </row>
    <row r="128" spans="1:6" ht="15" customHeight="1" thickBot="1" x14ac:dyDescent="0.25">
      <c r="A128" s="705" t="s">
        <v>1099</v>
      </c>
      <c r="B128" s="706" t="s">
        <v>1096</v>
      </c>
      <c r="C128" s="372"/>
      <c r="D128" s="370"/>
    </row>
    <row r="129" spans="1:7" ht="15" customHeight="1" thickBot="1" x14ac:dyDescent="0.25">
      <c r="A129" s="798" t="s">
        <v>4</v>
      </c>
      <c r="B129" s="799"/>
      <c r="C129" s="372"/>
      <c r="D129" s="370"/>
    </row>
    <row r="130" spans="1:7" ht="15" customHeight="1" thickBot="1" x14ac:dyDescent="0.25">
      <c r="A130" s="800" t="s">
        <v>159</v>
      </c>
      <c r="B130" s="801"/>
      <c r="C130" s="372"/>
      <c r="D130" s="370"/>
    </row>
    <row r="131" spans="1:7" ht="30" customHeight="1" x14ac:dyDescent="0.2">
      <c r="A131" s="108" t="s">
        <v>160</v>
      </c>
      <c r="B131" s="128"/>
      <c r="C131" s="648"/>
      <c r="D131" s="370"/>
      <c r="G131" s="4" t="b">
        <f>$B$131="YES"</f>
        <v>0</v>
      </c>
    </row>
    <row r="132" spans="1:7" ht="45" customHeight="1" x14ac:dyDescent="0.2">
      <c r="A132" s="786" t="s">
        <v>161</v>
      </c>
      <c r="B132" s="787"/>
      <c r="C132" s="372"/>
      <c r="D132" s="370"/>
    </row>
    <row r="133" spans="1:7" ht="15" customHeight="1" thickBot="1" x14ac:dyDescent="0.25">
      <c r="A133" s="784" t="s">
        <v>162</v>
      </c>
      <c r="B133" s="785"/>
      <c r="C133" s="386"/>
      <c r="D133" s="370"/>
    </row>
    <row r="134" spans="1:7" ht="8.25" customHeight="1" x14ac:dyDescent="0.2">
      <c r="A134" s="788" t="s">
        <v>4</v>
      </c>
      <c r="B134" s="789"/>
      <c r="C134" s="789"/>
      <c r="D134" s="370"/>
    </row>
    <row r="135" spans="1:7" x14ac:dyDescent="0.2">
      <c r="A135" s="790" t="str">
        <f t="shared" ref="A135" si="1">HYPERLINK("#Sheet_Fees","End of sheet. Click here to move to the next sheet.")</f>
        <v>End of sheet. Click here to move to the next sheet.</v>
      </c>
      <c r="B135" s="790"/>
      <c r="C135" s="790"/>
      <c r="D135" s="370"/>
    </row>
    <row r="136" spans="1:7" ht="8.25" customHeight="1" x14ac:dyDescent="0.2">
      <c r="A136" s="791"/>
      <c r="B136" s="791"/>
      <c r="C136" s="791"/>
      <c r="D136" s="370"/>
    </row>
  </sheetData>
  <sheetProtection algorithmName="SHA-512" hashValue="ywAs6RN3LDQe0/pB+PnnTryCsUtNj8oJsm5hEFmQIQEWj6KiCM50scMcv2A/bmU4YE8Z+FDpCnTFuFf9M1C2uQ==" saltValue="SA024Ze8tscStQvV1TfJ5g==" spinCount="100000" sheet="1" objects="1" scenarios="1" formatColumns="0" formatRows="0" autoFilter="0"/>
  <mergeCells count="46">
    <mergeCell ref="A1:B1"/>
    <mergeCell ref="A2:B2"/>
    <mergeCell ref="A3:B3"/>
    <mergeCell ref="A4:B4"/>
    <mergeCell ref="A6:B6"/>
    <mergeCell ref="A11:B11"/>
    <mergeCell ref="A8:B8"/>
    <mergeCell ref="A9:B9"/>
    <mergeCell ref="A25:B25"/>
    <mergeCell ref="A62:B62"/>
    <mergeCell ref="A64:B64"/>
    <mergeCell ref="A65:B65"/>
    <mergeCell ref="A61:B61"/>
    <mergeCell ref="A40:B40"/>
    <mergeCell ref="A46:B46"/>
    <mergeCell ref="A47:B47"/>
    <mergeCell ref="A48:B48"/>
    <mergeCell ref="A55:B55"/>
    <mergeCell ref="A68:B68"/>
    <mergeCell ref="A74:B74"/>
    <mergeCell ref="A69:B69"/>
    <mergeCell ref="A84:B84"/>
    <mergeCell ref="A75:B75"/>
    <mergeCell ref="A81:B81"/>
    <mergeCell ref="A89:B89"/>
    <mergeCell ref="A90:B90"/>
    <mergeCell ref="A91:B91"/>
    <mergeCell ref="A92:B92"/>
    <mergeCell ref="A87:B87"/>
    <mergeCell ref="A98:B98"/>
    <mergeCell ref="A101:B101"/>
    <mergeCell ref="A110:B110"/>
    <mergeCell ref="A95:B95"/>
    <mergeCell ref="A107:B107"/>
    <mergeCell ref="A112:B112"/>
    <mergeCell ref="A104:B104"/>
    <mergeCell ref="A111:B111"/>
    <mergeCell ref="A129:B129"/>
    <mergeCell ref="A130:B130"/>
    <mergeCell ref="A115:B115"/>
    <mergeCell ref="A116:B116"/>
    <mergeCell ref="A133:B133"/>
    <mergeCell ref="A132:B132"/>
    <mergeCell ref="A134:C134"/>
    <mergeCell ref="A135:C135"/>
    <mergeCell ref="A136:C136"/>
  </mergeCells>
  <conditionalFormatting sqref="A127:B127">
    <cfRule type="expression" dxfId="90" priority="1">
      <formula>$B$126="No"</formula>
    </cfRule>
  </conditionalFormatting>
  <conditionalFormatting sqref="A129:B133 A5:B127 A128">
    <cfRule type="expression" dxfId="89" priority="292">
      <formula>$E5</formula>
    </cfRule>
  </conditionalFormatting>
  <conditionalFormatting sqref="A129:B133 A6:B127 A128">
    <cfRule type="expression" dxfId="88" priority="290">
      <formula>$B$5="I disagree"</formula>
    </cfRule>
  </conditionalFormatting>
  <conditionalFormatting sqref="B5:B127">
    <cfRule type="expression" dxfId="87" priority="293">
      <formula>$F5</formula>
    </cfRule>
  </conditionalFormatting>
  <conditionalFormatting sqref="B131">
    <cfRule type="expression" dxfId="86" priority="2">
      <formula>$G$131</formula>
    </cfRule>
  </conditionalFormatting>
  <dataValidations count="87">
    <dataValidation type="list" allowBlank="1" showErrorMessage="1" prompt="If yes, did you attach copies of any correspondence from the agency and provide the RN associated with the investigation, notice of violation, or enforcement action above in this form? Enter or select &quot;Yes&quot; or &quot;No&quot;." sqref="B86" xr:uid="{50F70080-4EA5-4A77-8CB4-3CD805EF20E7}">
      <formula1>"Yes,No"</formula1>
    </dataValidation>
    <dataValidation type="list" allowBlank="1" showErrorMessage="1" prompt="Does the applicant have unpaid delinquent fees and/or penalties owed to the TCEQ? Enter or select &quot;Yes&quot; or &quot;No&quot;. This form will not be processed until all delinquent fees and/or penalties owed to the TCEQ is paid in accordance with policy." sqref="B131" xr:uid="{9CBEEDB4-D451-42BF-BD34-84DB65117DC4}">
      <formula1>"Yes,No"</formula1>
    </dataValidation>
    <dataValidation allowBlank="1" showErrorMessage="1" prompt="Enter the title of the Responsible Person." sqref="A16 A30" xr:uid="{D399F4FC-E0CF-4990-9445-2F4CCCCBB881}"/>
    <dataValidation allowBlank="1" showErrorMessage="1" prompt="Enter the email address of the Responsible Person." sqref="A24 A39" xr:uid="{1DE63935-0EA6-4211-829E-459800F4CA17}"/>
    <dataValidation allowBlank="1" showErrorMessage="1" prompt="Enter the mailing address of the Responsible Person." sqref="A17:A18 A32:A33" xr:uid="{674DF42C-8C88-4F06-A180-7CBDA1DF7D2D}"/>
    <dataValidation allowBlank="1" showErrorMessage="1" prompt="Enter the fax number of the Responsible Person." sqref="A23 A38" xr:uid="{C41611AF-B588-46C0-8C86-F2D2F8163BF3}"/>
    <dataValidation type="list" allowBlank="1" showErrorMessage="1" prompt="Enter the type of action requested, or select from the drop-down. (e.g. Initial, Amendment, Relocation, Change of Location, Revision, or Multiple Plant)" sqref="B77" xr:uid="{6631F0B1-F3AB-412C-BE9C-51F2198E92DC}">
      <formula1>"Yes,No"</formula1>
    </dataValidation>
    <dataValidation type="list" allowBlank="1" showErrorMessage="1" promptTitle="Confidential Only" prompt="If there is confidential information, is each page marked &quot;Confidential&quot; in large, red letters? If there is no confidential information, leave blank." sqref="B114" xr:uid="{70FC2B30-CFAC-4D3E-8997-B856A99C2D6E}">
      <formula1>"Yes,No"</formula1>
    </dataValidation>
    <dataValidation type="list" errorStyle="information" allowBlank="1" showErrorMessage="1" errorTitle="Invalid area map" error="The area map must meet these requirements to be considered acceptable for this permit. Please enter or select &quot;Yes&quot;, or delete your response." prompt="If a current map is attached, does the current area map contain a true north arrow, accurate scale, plant property, and prominent geographical features? Select or enter &quot;Yes&quot; when this is verified." sqref="B118" xr:uid="{1D775DA0-651A-4A8B-A37C-2420B857823A}">
      <formula1>"Yes,No"</formula1>
    </dataValidation>
    <dataValidation type="list" errorStyle="information" allowBlank="1" showErrorMessage="1" errorTitle="Invalid area map" error="The area map must meet these requirements to be considered acceptable for this permit. Please enter or select &quot;Yes&quot;, or delete your response." prompt="If a current map is attached, does the current area map show a 3,000-foot radius from the property boundary? Select or enter &quot;Yes&quot; when this is verified." sqref="B119" xr:uid="{D1AFA2B4-D94C-4140-83EB-ABC863BCB446}">
      <formula1>"Yes,No"</formula1>
    </dataValidation>
    <dataValidation type="list" errorStyle="information" allowBlank="1" showErrorMessage="1" errorTitle="Invalid plot plan" error="The plot plan must meet these requirements to be considered acceptable for this permit. Please enter or select &quot;Yes&quot;, or delete your response." promptTitle="Plot plan:" prompt="If a plot plan is attached, does the plot plan include a table of emission points indicating authorization type and identifiers? Enter or select &quot;yes&quot; when this is verified." sqref="B123 B125:B126" xr:uid="{619F67A3-FC1E-4B34-BA21-242265AAF8B9}">
      <formula1>"Yes,No"</formula1>
    </dataValidation>
    <dataValidation type="list" errorStyle="information" allowBlank="1" showErrorMessage="1" errorTitle="Invalid plot plan" error="The plot plan must meet these requirements to be considered acceptable for this permit. Please enter or select &quot;Yes&quot;, or delete your response." prompt="If a plot plan is attached, does your plot plan clearly show a north arrow, an accurate scale, all property lines, all emission points, buildings, tanks, process vessels, other process equipment, and two bench mark locations? Enter or select &quot;yes&quot; if so." sqref="B121" xr:uid="{EEE8D99B-4114-4373-9316-A8066C207364}">
      <formula1>"Yes,No"</formula1>
    </dataValidation>
    <dataValidation type="list" errorStyle="information" allowBlank="1" showErrorMessage="1" errorTitle="Invalid plot plan" error="The plot plan must meet these requirements to be considered acceptable for this permit. Please enter or select &quot;Yes&quot;, or delete your response." prompt="If a plot plan is attached, does the plot plan identify all emission points on the affected property, including those authorized under other associated or consolidated permits? Enter or select &quot;yes&quot; when this is verified." sqref="B122" xr:uid="{698D1BFD-F5D9-45B1-8B94-EC15825BA5B4}">
      <formula1>"Yes,No"</formula1>
    </dataValidation>
    <dataValidation type="list" allowBlank="1" showErrorMessage="1" prompt="Is this application in response to an investigation, notice of violation, or enforcement action? Enter or select &quot;Yes&quot; or &quot;No&quot;." sqref="B85" xr:uid="{B9A92311-9BCA-49F7-BF1B-17590C3A2A32}">
      <formula1>"Yes,No"</formula1>
    </dataValidation>
    <dataValidation type="list" allowBlank="1" showErrorMessage="1" prompt="Is confidential information submitted with this application? Enter or select &quot;Yes&quot; or &quot;No&quot;." sqref="B113" xr:uid="{080FCE06-8105-4F67-BF6A-328548A7C715}">
      <formula1>"Yes,No"</formula1>
    </dataValidation>
    <dataValidation type="list" errorStyle="information" allowBlank="1" showErrorMessage="1" errorTitle="Required attachment" error="Current area map is a required portion of the application. Please enter or select &quot;Yes&quot;, or delete your response." prompt="Is a current area map attached? Enter or select &quot;Yes&quot; when verified." sqref="B117" xr:uid="{D9F7151B-A66D-4603-937F-DADF9A039055}">
      <formula1>"Yes,No"</formula1>
    </dataValidation>
    <dataValidation type="list" errorStyle="information" allowBlank="1" showErrorMessage="1" errorTitle="Required attachment" error="The plot plan is a required portion of this application. Please enter or select &quot;Yes&quot;, or delete your response." prompt="Is a plot plan attached? Enter or select &quot;Yes&quot; when verified." sqref="B120 B124" xr:uid="{A7A839E2-A831-484C-B8AB-2EA0B015A913}">
      <formula1>"Yes,No"</formula1>
    </dataValidation>
    <dataValidation type="textLength" operator="greaterThan" allowBlank="1" showInputMessage="1" showErrorMessage="1" errorTitle="This text cannot be deleted" error="Please do not alter the text in this block of instructions. It has been left unlocked for accessibility purposes only. Altering the text in an instructions block may result in denial of the permit application." sqref="A91 A131:A133 A59:B59 A115:A116 A25:B25 A63:A73 A81:A87 A56:A57 B67 B69 A60:A61 A40" xr:uid="{9435D063-8B5F-40EA-9B54-B8284480C534}">
      <formula1>1</formula1>
    </dataValidation>
    <dataValidation type="textLength" operator="notEqual" showErrorMessage="1" errorTitle="This text cannot be deleted" error="Please do not alter the text in this block of instructions. It has been left unlocked for accessibility purposes only. Altering the text in an instructions block may result in denial of the permit application." promptTitle="Accessibility note:" prompt="Please do not alter the text in this block of instructions. It has been left unlocked to be read by a screen reader. Altering the text in an instructions block may result in denial of the permit application." sqref="A2" xr:uid="{02EBB702-7FE2-4ED1-912F-A9195940E27E}">
      <formula1>0</formula1>
    </dataValidation>
    <dataValidation type="textLength" operator="lessThan" allowBlank="1" showErrorMessage="1" errorTitle="Invalid response" error="Please limit yourself to 500 characters. If you need more room, please attach additional sheets." prompt="How will this facility comply with the &quot;General Rules&quot;?" sqref="A94 A106 A100 A103 A97 A109" xr:uid="{CCF49352-F0B4-417A-BBCA-6D032DBC2991}">
      <formula1>501</formula1>
    </dataValidation>
    <dataValidation type="list" allowBlank="1" showErrorMessage="1" prompt="Enter the number of engines that are included in this application." sqref="B78" xr:uid="{09B19625-AF15-4097-8ECD-302AA170581A}">
      <formula1>"1,2,3,4,5,6,7,8,9,10"</formula1>
    </dataValidation>
    <dataValidation type="list" allowBlank="1" showErrorMessage="1" prompt="Enter the number of diesel tanks that are included in this application." sqref="B79" xr:uid="{FAD5A4F6-BDC4-438C-832C-245E5110502D}">
      <formula1>"0,1,2,3,4,5,6,7,8,9,10"</formula1>
    </dataValidation>
    <dataValidation type="list" allowBlank="1" showErrorMessage="1" prompt="User agrees or disagrees to the statement in cell A6.  Acknowledgeing they are sumitting a TCEQ application with any necessary attachements.  The workbook has not been changed except for row heights and inputs. " sqref="B5" xr:uid="{AEFC7DD9-A019-4673-9A79-6F19A4D57245}">
      <formula1>"I agree, I disagree"</formula1>
    </dataValidation>
    <dataValidation type="whole" allowBlank="1" showErrorMessage="1" promptTitle="Customer Reference Number (CN)" prompt="Enter the Customer Reference Number (CN). The CN is a unique number given to each business, governmental body, association, individual, or other entity that owns, operates, is responsible for, or is affiliated with a regulated entity." sqref="B42" xr:uid="{E6024D3E-7D5E-4CE5-99E9-1609B6A192EC}">
      <formula1>1</formula1>
      <formula2>999999999</formula2>
    </dataValidation>
    <dataValidation type="textLength" allowBlank="1" showErrorMessage="1" promptTitle="Regulated ID Number (RN)" prompt="Enter the Regulated ID Number (RN). The RN is a unique agency assigned number given to each person, organization, place, or thing that is of environmental interest to us and where regulated activities will occur." sqref="B43" xr:uid="{1880BF5F-348D-4B7B-AC73-EE3BAAA0AD7B}">
      <formula1>9</formula1>
      <formula2>9</formula2>
    </dataValidation>
    <dataValidation type="list" allowBlank="1" showErrorMessage="1" prompt="Is this facility located at a site required to obtain a federal operating permit? Enter or select Yes or No." sqref="B44" xr:uid="{F743CF34-03D5-4917-9850-33B617F74EF6}">
      <formula1>"Yes,No"</formula1>
    </dataValidation>
    <dataValidation allowBlank="1" showErrorMessage="1" promptTitle="FOP numbers" prompt="If this facility is located at a site required to obtain a federal operating permit, list all associated FOP number(s). If no associated permit number has been assigned yet, enter &quot;TBD.&quot;" sqref="B45" xr:uid="{25DB2D4F-E2DA-4F19-A87F-2FBB3BD12701}"/>
    <dataValidation allowBlank="1" showErrorMessage="1" prompt="Enter the number of new jobs this project will create." sqref="B87" xr:uid="{157C29E6-5D8D-4C55-9347-CD04D9C586BA}"/>
    <dataValidation allowBlank="1" showErrorMessage="1" prompt="List the legal name of the company,corporation, partnership, or person who is applying for the permit." sqref="B7" xr:uid="{F0F8C6EB-EEEF-49B0-A962-3041DB1E3471}"/>
    <dataValidation allowBlank="1" showErrorMessage="1" prompt="Enter the Texas Secretary of State Charter or Registration Number, if it has been given." sqref="B10" xr:uid="{6A79BDCF-94D4-4E0E-A1FD-971D9F0FE544}"/>
    <dataValidation allowBlank="1" showErrorMessage="1" prompt="Enter the email address of the Company Official Contact (not a consultant)." sqref="B24" xr:uid="{7E17A16B-DB81-4607-A834-830F7C6C0919}"/>
    <dataValidation allowBlank="1" showErrorMessage="1" prompt="Enter the fax number of the Company Official Contact (not a consultant)." sqref="B23" xr:uid="{046C4EA8-BCD2-4E5C-8355-A8068F02865F}"/>
    <dataValidation allowBlank="1" showErrorMessage="1" prompt="Enter the telephone number of the Company Official Contact (not a consultant)." sqref="B22" xr:uid="{D160C0E4-57F2-4DAA-97B0-9BA1F7DB98CA}"/>
    <dataValidation allowBlank="1" showErrorMessage="1" prompt="Enter the ZIP code of the Company Official Contact (not a consultant)." sqref="B21" xr:uid="{4E7EE562-B5E5-44C3-A922-B203C6AC9F21}"/>
    <dataValidation allowBlank="1" showErrorMessage="1" prompt="Enter the state of the Company Official Contact (not a consultant)." sqref="B20" xr:uid="{ABFF719F-2AF7-4FD3-B198-5A5DECA34BC7}"/>
    <dataValidation allowBlank="1" showErrorMessage="1" prompt="Enter the city of the Company Official Contact (not a consultant)." sqref="B19" xr:uid="{6595206C-11F7-45BE-BA52-FD6553FFD33A}"/>
    <dataValidation allowBlank="1" showErrorMessage="1" prompt="Enter the mailing address of the Company Official Contact (not a consultant)." sqref="B17:B18" xr:uid="{6D024122-6DDA-42D3-8A13-BD82D43C8055}"/>
    <dataValidation allowBlank="1" showErrorMessage="1" prompt="Enter the title of the Company Official Contact (not a consultant)." sqref="B16" xr:uid="{EF35DA2A-E89B-41C9-8E08-28425295CBD5}"/>
    <dataValidation allowBlank="1" showErrorMessage="1" prompt="Enter the last name of the Company Official Contact (not a consultant)." sqref="B15" xr:uid="{F219457A-6A68-4232-99CE-58E8E61C81D5}"/>
    <dataValidation allowBlank="1" showErrorMessage="1" prompt="Enter the first name of the Company Official Contact (not a consultant)." sqref="B14" xr:uid="{68C83B0D-D142-42A2-9BF8-3FEE3842EEFB}"/>
    <dataValidation allowBlank="1" showErrorMessage="1" prompt="Enter the prefix of the Company Official Contact (not a consultant). (e.g. Mr., Ms. Dr., Hon.)" sqref="B13" xr:uid="{71466024-72A6-439D-8EF2-2534D0F10F6C}"/>
    <dataValidation allowBlank="1" showErrorMessage="1" prompt="Enter the email address of the Technical Contact." sqref="B39" xr:uid="{63F66BB4-A278-4942-8B7D-C5B47A33D1E0}"/>
    <dataValidation allowBlank="1" showErrorMessage="1" prompt="Enter the fax number of the Technical Contact." sqref="B38" xr:uid="{CD6FA181-6F2A-4251-834B-11D773B53FC7}"/>
    <dataValidation allowBlank="1" showErrorMessage="1" prompt="Enter the telephone number of the Technical Contact." sqref="B37" xr:uid="{4B631205-D70C-472E-8DC6-0560CCBEE19F}"/>
    <dataValidation allowBlank="1" showErrorMessage="1" prompt="Enter the ZIP code of the Technical Contact." sqref="B36" xr:uid="{B508D883-1EE4-4FF8-BA9A-F57513C40D3F}"/>
    <dataValidation allowBlank="1" showErrorMessage="1" prompt="Enter the state of the Technical Contact." sqref="B35" xr:uid="{F8ED1436-1017-473C-A3F4-C77CE725E0C0}"/>
    <dataValidation allowBlank="1" showErrorMessage="1" prompt="Enter the city of the Technical Contact." sqref="B34" xr:uid="{92D7E4A1-6610-4F9D-8269-FEE5EFBDFA62}"/>
    <dataValidation allowBlank="1" showErrorMessage="1" prompt="Enter the mailing address of the Technical Contact." sqref="B32:B33" xr:uid="{DC5415DB-75ED-4976-B29B-130134DA1627}"/>
    <dataValidation allowBlank="1" showErrorMessage="1" prompt="Enter the company or legal (organizational) name of the Technical Contact." sqref="B31" xr:uid="{A3DF4951-7BCC-470E-8389-FE7DE0179209}"/>
    <dataValidation allowBlank="1" showErrorMessage="1" prompt="Enter the title of the Technical Contact." sqref="B30" xr:uid="{6549B6C9-66D9-41C5-8771-CF2CCF38E3C2}"/>
    <dataValidation allowBlank="1" showErrorMessage="1" prompt="Enter the Last Name of the Technical Contact." sqref="B29" xr:uid="{EA4310AC-9003-494E-8621-9772E6DF72AC}"/>
    <dataValidation allowBlank="1" showErrorMessage="1" prompt="Enter the first name of the Technical Contact." sqref="B28" xr:uid="{ACADC673-0EDD-4FAC-970B-8FFCFEF94194}"/>
    <dataValidation allowBlank="1" showErrorMessage="1" prompt="Enter the prefix of the Technical Contact. (e.g. Mr., Ms. Dr., Hon.)" sqref="B27" xr:uid="{C18BB582-C043-4B93-A174-8D4D0E663EEB}"/>
    <dataValidation type="list" allowBlank="1" showErrorMessage="1" prompt="Enter the county where the facility is physically located. " sqref="B50" xr:uid="{216F612E-6D09-432C-B8E9-DEBF631B553A}">
      <formula1>CountyName</formula1>
    </dataValidation>
    <dataValidation allowBlank="1" showErrorMessage="1" prompt="Please include the ZIP Code of the physical facility site, not the ZIP Code of the applicant's mailing address. " sqref="B53:B54" xr:uid="{DC3532B3-EBF2-42E7-8A92-62A9DFB8F455}"/>
    <dataValidation allowBlank="1" showErrorMessage="1" prompt="Enter the facility's city. If the address is not located in a city, then enter the city or town closest to the facility, even if it is not in the same county as the facility." sqref="B52" xr:uid="{00945E97-E3CA-4C08-88B1-B01C2D560158}"/>
    <dataValidation allowBlank="1" showErrorMessage="1" promptTitle="Site Location Description" prompt="If there is no street address, provide written driving directions to the site. Identify the location by distance and direction from well-known landmarks such as major highway intersections." sqref="B54" xr:uid="{997008E9-9CA9-4202-9EE8-9832C55AF9DA}"/>
    <dataValidation allowBlank="1" showErrorMessage="1" prompt="Enter the facility street address. If there is no address, please describe the physical location in the next cell." sqref="B51" xr:uid="{840DAA42-1E38-435E-AAC7-6CAEE64BB5A4}"/>
    <dataValidation type="list" allowBlank="1" showErrorMessage="1" prompt="Are there any schools located within 3,000 feet of the site boundary? Enter or select &quot;Yes&quot; or &quot;No.&quot;" sqref="B58" xr:uid="{C27967E8-F180-448C-B145-4524A364F9F1}">
      <formula1>"Yes,No"</formula1>
    </dataValidation>
    <dataValidation allowBlank="1" showErrorMessage="1" prompt="Enter the site name." sqref="B56" xr:uid="{29F54BAD-D49C-4A88-A1FB-1D45BCDCB6AE}"/>
    <dataValidation allowBlank="1" showErrorMessage="1" promptTitle="Area Name" prompt="Enter area name. Must indicate the general type of operation, process, equipment or facility. Include numerical designations, if appropriate. Examples are Sulfuric Acid Plant and No. 5 Steam Boiler. Vague names such as Chemical Plant are not acceptable." sqref="B57" xr:uid="{05456876-985A-4675-B9E8-F96942F11964}"/>
    <dataValidation allowBlank="1" showErrorMessage="1" prompt="Enter the principal product or business of this company." sqref="B60" xr:uid="{D4DE4C72-2944-47D1-96FA-A289F3D14E5C}"/>
    <dataValidation allowBlank="1" showErrorMessage="1" prompt="Enter the principal SIC code for this business." sqref="B63" xr:uid="{E1351679-DA73-4C40-89EC-52B081FA754B}"/>
    <dataValidation allowBlank="1" showErrorMessage="1" prompt="Enter the principal NAICS code for this business." sqref="B66" xr:uid="{BADB18F2-D86C-4AC8-AA6B-012944D185B4}"/>
    <dataValidation allowBlank="1" showErrorMessage="1" prompt="Enter the State Representative's district number." sqref="B73" xr:uid="{DA900581-D649-44E8-A47E-EC58ED13AF37}"/>
    <dataValidation allowBlank="1" showErrorMessage="1" prompt="Enter the State Representative's name" sqref="B72" xr:uid="{30C2FF50-86B6-4A48-888C-DED371B3E7D5}"/>
    <dataValidation allowBlank="1" showErrorMessage="1" prompt="Enter the State Senator District." sqref="B71" xr:uid="{B0232519-D85A-41B1-9B7A-EDAC1B66C9A2}"/>
    <dataValidation allowBlank="1" showErrorMessage="1" prompt="Enter the name of the State Senator" sqref="B70" xr:uid="{C0E2A551-BBFB-4825-A02F-16F0FEADFE77}"/>
    <dataValidation type="textLength" operator="lessThanOrEqual" allowBlank="1" showErrorMessage="1" promptTitle="Project Description" prompt="Briefly provide a description of the project that is requested." sqref="B80" xr:uid="{28BA3600-91AD-4381-B178-30DCB903A813}">
      <formula1>5000</formula1>
    </dataValidation>
    <dataValidation operator="greaterThan" allowBlank="1" showErrorMessage="1" prompt="Enter the projected start date of operation." sqref="B83" xr:uid="{D5FED3C2-7249-429E-AD70-8590EC2DA711}"/>
    <dataValidation operator="greaterThan" allowBlank="1" showErrorMessage="1" prompt="Enter the projected start date of construction." sqref="B82" xr:uid="{2019758F-DA6F-415E-B11D-E2D8B6FD5F98}"/>
    <dataValidation allowBlank="1" showErrorMessage="1" prompt="If applicable, describe the Seasonal Operating Schedule." sqref="B88" xr:uid="{678F696B-A2CD-42D3-951B-480CB0952618}"/>
    <dataValidation type="list" errorStyle="information" allowBlank="1" showErrorMessage="1" errorTitle="General Rules" error="It is mandatory for the facility to comply with 30 TAC Chapter 101 &quot;General Rules&quot;. Please enter or select &quot;Yes&quot; to confirm." prompt="Will the emissions from the proposed facility protect public health and welfare, and comply with all rules and regulations of the TCEQ? Enter or select &quot;Yes&quot; to confirm." sqref="B93" xr:uid="{2AD4E861-D553-4E22-8E02-09F7856906A7}">
      <formula1>"Yes,No"</formula1>
    </dataValidation>
    <dataValidation allowBlank="1" showErrorMessage="1" promptTitle="30 TAC Chapter 101" prompt="If this chapter applies, how will this facility comply with the requirements of this chapter?" sqref="B94" xr:uid="{D8CA314E-6DBB-435A-8AB4-BE9B052B7AF7}"/>
    <dataValidation allowBlank="1" showErrorMessage="1" promptTitle="30 TAC Chapter 111" prompt="If this chapter applies, how will this facility comply with the requirements of this chapter?" sqref="B97" xr:uid="{28F015DB-9160-45BF-8360-BAF47E107242}"/>
    <dataValidation type="list" errorStyle="information" allowBlank="1" showErrorMessage="1" errorTitle="General Rules" promptTitle="30 TAC Chapter 111" prompt="Does 30 TAC Chapter 111 -  Visible Emissions and Particulate Matter apply to this facility? Enter or select &quot;Yes&quot; or &quot;No&quot;" sqref="B96" xr:uid="{01EDE833-310C-46BA-956C-AA4C1198FF83}">
      <formula1>"Yes,No"</formula1>
    </dataValidation>
    <dataValidation type="list" errorStyle="information" allowBlank="1" showErrorMessage="1" errorTitle="General Rules" promptTitle="30 TAC Chapter 112" prompt="Does 30 TAC Chapter 112 - Sulfur Compounds apply to this facility? Enter or select &quot;Yes&quot; or &quot;No&quot;" sqref="B99" xr:uid="{301D2AC1-37E2-444D-814D-4F1668D73B76}">
      <formula1>"Yes,No"</formula1>
    </dataValidation>
    <dataValidation allowBlank="1" showErrorMessage="1" promptTitle="30 TAC Chapter 112" prompt="If this chapter applies, how will this facility comply with the requirements of this chapter?" sqref="B100" xr:uid="{0ACECA00-4187-47FB-82D4-1FC21E8D242A}"/>
    <dataValidation type="list" errorStyle="information" allowBlank="1" showErrorMessage="1" errorTitle="General Rules" promptTitle="30 TAC Chapter 113" prompt="Does 30 TAC Chapter 113 - Toxic Materials apply to this facility? Enter or select &quot;Yes&quot; or &quot;No&quot;" sqref="B102" xr:uid="{865F0C2B-7AE3-4DCB-B9B8-1E803DA612CD}">
      <formula1>"Yes,No"</formula1>
    </dataValidation>
    <dataValidation allowBlank="1" showErrorMessage="1" promptTitle="30 TAC Chapter 113" prompt="If this chapter applies, how will this facility comply with the requirements of this chapter?" sqref="B103" xr:uid="{E95E0945-7BF5-4CF9-A735-667A00EFF263}"/>
    <dataValidation type="list" errorStyle="information" allowBlank="1" showErrorMessage="1" errorTitle="General Rules" promptTitle="30 TAC Chapter 115" prompt="Does 30 TAC Chapter 115 - Volatile Organic Compounds apply to this facility? Enter or select &quot;Yes&quot; or &quot;No&quot;" sqref="B105" xr:uid="{829F5110-75A1-4D30-9C47-1120CD18EF39}">
      <formula1>"Yes,No"</formula1>
    </dataValidation>
    <dataValidation allowBlank="1" showErrorMessage="1" promptTitle="30 TAC Chapter 115" prompt="If this chapter applies, how will this facility comply with the requirements of this chapter?" sqref="B106" xr:uid="{5E0DA8A0-099A-4F6B-9FD0-0332AA12841C}"/>
    <dataValidation type="list" errorStyle="information" allowBlank="1" showErrorMessage="1" errorTitle="General Rules" promptTitle="30 TAC Chapter 117" prompt="Does 30 TAC Chapter 117 - Nitrogen Compounds apply to this facility? Enter or select &quot;Yes&quot; or &quot;No&quot;" sqref="B108" xr:uid="{B44A2D64-1184-4592-96E9-EDD30B307173}">
      <formula1>"Yes,No"</formula1>
    </dataValidation>
    <dataValidation allowBlank="1" showErrorMessage="1" promptTitle="30 TAC Chapter 117" prompt="If this chapter applies, how will this facility comply with the requirements of this chapter?" sqref="B109" xr:uid="{5579DF8F-8803-4812-9724-BDA6BA77EFA2}"/>
    <dataValidation allowBlank="1" showErrorMessage="1" sqref="A4:B4" xr:uid="{6C7F0221-92B8-4C29-B7DB-C7F23B27E73D}"/>
    <dataValidation allowBlank="1" showErrorMessage="1" prompt="This cell intentionally left blank for internal comments. All internal comments must be submitted prior to application submittal." sqref="C3:C133" xr:uid="{58E112F9-B72B-49C5-9218-0F88E31266FF}"/>
    <dataValidation type="list" errorStyle="information" allowBlank="1" showErrorMessage="1" errorTitle="Invalid plot plan" error="The plot plan must meet these requirements to be considered acceptable for this permit. Please enter or select &quot;Yes&quot;, or delete your response." promptTitle="Plot plan:" prompt="If a plot plan is attached, does the plot plan include a table of emission points indicating authorization type and identifiers? Enter or select &quot;yes&quot; when this is verified." sqref="B127" xr:uid="{D228E80C-F56B-4C37-A242-C3185AC4EA87}">
      <formula1>"Yes"</formula1>
    </dataValidation>
  </dataValidations>
  <hyperlinks>
    <hyperlink ref="A116" r:id="rId1" xr:uid="{8EAB2932-76C7-4692-8BB8-846F13DC50E1}"/>
    <hyperlink ref="A69" r:id="rId2" xr:uid="{A7753EE1-E486-4647-9B6F-226DF0B8377D}"/>
    <hyperlink ref="A116:B116" r:id="rId3" tooltip="Click to link to TCEQ's Confidentiality Policy" display="www.tceq.texas.gov/permitting/air/confidential.html" xr:uid="{18C1F22D-BC04-40DD-A104-8916B144AD1F}"/>
    <hyperlink ref="A69:B69" r:id="rId4" tooltip="Click to look up who represents this facility in State legislature." display="https://wrm.capitol.texas.gov/home" xr:uid="{D0D2ADD9-D4AE-4CF6-A962-1EBBF220DE56}"/>
    <hyperlink ref="A133" r:id="rId5" display="www.tceq.texas.gov/agency/fees/delin" xr:uid="{52BA02CA-1DD0-41D6-BF71-93D5FD11CADE}"/>
    <hyperlink ref="A65" r:id="rId6" display="www.census.gov/eos/www/naics/" xr:uid="{614EA363-FACE-4AF9-8494-27920F91C4A2}"/>
    <hyperlink ref="A62" r:id="rId7" display="https://www.osha.gov/pls/imis/sicsearch.html" xr:uid="{9AE39665-3721-49B8-AECC-FB1694DC975A}"/>
    <hyperlink ref="A133" r:id="rId8" tooltip="Click to view the Delinquent Fee and Penalty Protocol." xr:uid="{A07D2F12-25A2-466C-A4FB-091C4C0633DD}"/>
    <hyperlink ref="A65:B65" r:id="rId9" tooltip="Click to link to NAICS codes." display="https://www.census.gov/naics/" xr:uid="{7F40D868-C137-4867-8452-87D580AF0CED}"/>
    <hyperlink ref="A9" r:id="rId10" xr:uid="{5C54A26B-1AA3-4737-AC44-5EFB25B37DD6}"/>
    <hyperlink ref="A9:B9" r:id="rId11" tooltip="Click to link to the Texas Secretary of State website." display="www.sos.state.tx.us" xr:uid="{42CDF367-3FBE-483A-9AA5-C17A57F15E06}"/>
    <hyperlink ref="A62:B62" r:id="rId12" tooltip="Click to link to SIC codes." display="www.osha.gov/pls/imis/sicsearch.html" xr:uid="{21A2B93F-3659-4707-9C22-E62AA0E07E5A}"/>
    <hyperlink ref="B128" r:id="rId13" location="pip " xr:uid="{A661AD8C-BB25-4794-99C3-68FB6BC25209}"/>
  </hyperlinks>
  <printOptions horizontalCentered="1"/>
  <pageMargins left="0.25" right="0.25" top="0.57395833333333302" bottom="0.61354166666666698" header="0.3" footer="0.3"/>
  <pageSetup scale="73" fitToHeight="0" orientation="portrait" cellComments="asDisplayed" r:id="rId14"/>
  <headerFooter>
    <oddHeader>&amp;C&amp;"Arial,Regular"Engine Power Generation RAP Application</oddHeader>
    <oddFooter>&amp;L&amp;"Arial,Regular"Version: 1.0&amp;C&amp;"Arial,Regular"Sheet: &amp;A&amp;R&amp;"Arial,Regular"Page &amp;P</oddFooter>
  </headerFooter>
  <rowBreaks count="5" manualBreakCount="5">
    <brk id="39" max="6" man="1"/>
    <brk id="54" max="6" man="1"/>
    <brk id="83" max="6" man="1"/>
    <brk id="100" max="6" man="1"/>
    <brk id="119" max="6" man="1"/>
  </rowBreaks>
  <tableParts count="4">
    <tablePart r:id="rId15"/>
    <tablePart r:id="rId16"/>
    <tablePart r:id="rId17"/>
    <tablePart r:id="rId18"/>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C1C12-5F90-46DF-BE67-16FAF4E357B8}">
  <sheetPr codeName="Sheet30">
    <tabColor rgb="FFDCDCFF"/>
  </sheetPr>
  <dimension ref="A1:I79"/>
  <sheetViews>
    <sheetView showGridLines="0" zoomScaleNormal="100" workbookViewId="0">
      <selection sqref="A1:E1"/>
    </sheetView>
  </sheetViews>
  <sheetFormatPr defaultColWidth="0" defaultRowHeight="14.25" zeroHeight="1" x14ac:dyDescent="0.2"/>
  <cols>
    <col min="1" max="1" width="15.625" style="8" customWidth="1"/>
    <col min="2" max="2" width="17.25" style="8" customWidth="1"/>
    <col min="3" max="3" width="31.75" style="8" customWidth="1"/>
    <col min="4" max="4" width="21.875" style="8" customWidth="1"/>
    <col min="5" max="5" width="17" style="8" customWidth="1"/>
    <col min="6" max="6" width="2.625" style="8" customWidth="1"/>
    <col min="7" max="9" width="8" style="8" hidden="1" customWidth="1"/>
    <col min="10" max="16384" width="9" style="8" hidden="1"/>
  </cols>
  <sheetData>
    <row r="1" spans="1:9" ht="18" customHeight="1" thickBot="1" x14ac:dyDescent="0.25">
      <c r="A1" s="1012" t="s">
        <v>878</v>
      </c>
      <c r="B1" s="1013"/>
      <c r="C1" s="1013"/>
      <c r="D1" s="1013"/>
      <c r="E1" s="1014"/>
      <c r="F1" s="13"/>
      <c r="G1" s="13"/>
      <c r="H1" s="13"/>
      <c r="I1" s="13"/>
    </row>
    <row r="2" spans="1:9" ht="80.099999999999994" customHeight="1" thickBot="1" x14ac:dyDescent="0.25">
      <c r="A2" s="841" t="s">
        <v>879</v>
      </c>
      <c r="B2" s="1015"/>
      <c r="C2" s="1015"/>
      <c r="D2" s="1015"/>
      <c r="E2" s="1016"/>
      <c r="F2" s="13"/>
      <c r="G2" s="13"/>
      <c r="H2" s="13"/>
      <c r="I2" s="13"/>
    </row>
    <row r="3" spans="1:9" ht="108.75" customHeight="1" thickBot="1" x14ac:dyDescent="0.25">
      <c r="A3" s="1009" t="s">
        <v>880</v>
      </c>
      <c r="B3" s="1010"/>
      <c r="C3" s="1010"/>
      <c r="D3" s="1010"/>
      <c r="E3" s="1011"/>
      <c r="F3" s="46"/>
      <c r="G3" s="46"/>
      <c r="H3" s="46"/>
      <c r="I3" s="46"/>
    </row>
    <row r="4" spans="1:9" ht="15" thickBot="1" x14ac:dyDescent="0.25">
      <c r="A4" s="1000"/>
      <c r="B4" s="1000"/>
      <c r="C4" s="1000"/>
      <c r="D4" s="1000"/>
      <c r="E4" s="1000"/>
      <c r="F4" s="46"/>
      <c r="G4" s="46"/>
      <c r="H4" s="46"/>
      <c r="I4" s="46"/>
    </row>
    <row r="5" spans="1:9" ht="17.100000000000001" customHeight="1" thickBot="1" x14ac:dyDescent="0.25">
      <c r="A5" s="1017" t="s">
        <v>881</v>
      </c>
      <c r="B5" s="1018"/>
      <c r="C5" s="1018"/>
      <c r="D5" s="1018"/>
      <c r="E5" s="1019"/>
      <c r="F5" s="46"/>
      <c r="G5" s="46"/>
      <c r="H5" s="46"/>
      <c r="I5" s="46"/>
    </row>
    <row r="6" spans="1:9" ht="46.5" customHeight="1" thickBot="1" x14ac:dyDescent="0.25">
      <c r="A6" s="1009" t="s">
        <v>882</v>
      </c>
      <c r="B6" s="1010"/>
      <c r="C6" s="1010"/>
      <c r="D6" s="1010"/>
      <c r="E6" s="1011"/>
      <c r="F6" s="46"/>
      <c r="G6" s="46"/>
      <c r="H6" s="46"/>
      <c r="I6" s="46"/>
    </row>
    <row r="7" spans="1:9" ht="15" thickBot="1" x14ac:dyDescent="0.25">
      <c r="A7" s="1000"/>
      <c r="B7" s="1000"/>
      <c r="C7" s="1000"/>
      <c r="D7" s="1000"/>
      <c r="E7" s="1000"/>
      <c r="F7" s="46"/>
      <c r="G7" s="46"/>
      <c r="H7" s="46"/>
      <c r="I7" s="46"/>
    </row>
    <row r="8" spans="1:9" ht="17.100000000000001" customHeight="1" thickBot="1" x14ac:dyDescent="0.25">
      <c r="A8" s="995" t="s">
        <v>883</v>
      </c>
      <c r="B8" s="996"/>
      <c r="C8" s="996"/>
      <c r="D8" s="996"/>
      <c r="E8" s="997"/>
      <c r="F8" s="46"/>
      <c r="G8" s="46"/>
      <c r="H8" s="46"/>
      <c r="I8" s="46"/>
    </row>
    <row r="9" spans="1:9" ht="222" customHeight="1" x14ac:dyDescent="0.2">
      <c r="A9" s="733" t="s">
        <v>884</v>
      </c>
      <c r="B9" s="1004"/>
      <c r="C9" s="1004"/>
      <c r="D9" s="1004"/>
      <c r="E9" s="1005"/>
      <c r="F9" s="46"/>
      <c r="G9" s="46"/>
      <c r="H9" s="46"/>
      <c r="I9" s="46"/>
    </row>
    <row r="10" spans="1:9" ht="30" customHeight="1" x14ac:dyDescent="0.2">
      <c r="A10" s="707" t="s">
        <v>885</v>
      </c>
      <c r="B10" s="708"/>
      <c r="C10" s="708"/>
      <c r="D10" s="708"/>
      <c r="E10" s="709"/>
      <c r="F10" s="46"/>
      <c r="G10" s="46"/>
      <c r="H10" s="46"/>
      <c r="I10" s="46"/>
    </row>
    <row r="11" spans="1:9" x14ac:dyDescent="0.2">
      <c r="A11" s="985" t="s">
        <v>886</v>
      </c>
      <c r="B11" s="986"/>
      <c r="C11" s="87" t="s">
        <v>887</v>
      </c>
      <c r="D11" s="986" t="s">
        <v>888</v>
      </c>
      <c r="E11" s="987"/>
      <c r="F11" s="46"/>
      <c r="G11" s="46"/>
      <c r="H11" s="46"/>
      <c r="I11" s="46"/>
    </row>
    <row r="12" spans="1:9" x14ac:dyDescent="0.2">
      <c r="A12" s="984" t="s">
        <v>889</v>
      </c>
      <c r="B12" s="982"/>
      <c r="C12" s="53" t="s">
        <v>890</v>
      </c>
      <c r="D12" s="982">
        <v>131.5</v>
      </c>
      <c r="E12" s="983"/>
      <c r="F12" s="46"/>
      <c r="G12" s="46"/>
      <c r="H12" s="46"/>
      <c r="I12" s="46"/>
    </row>
    <row r="13" spans="1:9" x14ac:dyDescent="0.2">
      <c r="A13" s="984" t="s">
        <v>889</v>
      </c>
      <c r="B13" s="982"/>
      <c r="C13" s="53" t="s">
        <v>891</v>
      </c>
      <c r="D13" s="982">
        <v>118.35</v>
      </c>
      <c r="E13" s="983"/>
      <c r="F13" s="46"/>
      <c r="G13" s="46"/>
      <c r="H13" s="46"/>
      <c r="I13" s="46"/>
    </row>
    <row r="14" spans="1:9" x14ac:dyDescent="0.2">
      <c r="A14" s="984" t="s">
        <v>889</v>
      </c>
      <c r="B14" s="982"/>
      <c r="C14" s="53" t="s">
        <v>892</v>
      </c>
      <c r="D14" s="982">
        <v>92.05</v>
      </c>
      <c r="E14" s="983"/>
      <c r="F14" s="46"/>
      <c r="G14" s="46"/>
      <c r="H14" s="46"/>
      <c r="I14" s="46"/>
    </row>
    <row r="15" spans="1:9" x14ac:dyDescent="0.2">
      <c r="A15" s="984" t="s">
        <v>889</v>
      </c>
      <c r="B15" s="982"/>
      <c r="C15" s="53" t="s">
        <v>893</v>
      </c>
      <c r="D15" s="982">
        <v>52.6</v>
      </c>
      <c r="E15" s="983"/>
      <c r="F15" s="46"/>
      <c r="G15" s="46"/>
      <c r="H15" s="46"/>
      <c r="I15" s="46"/>
    </row>
    <row r="16" spans="1:9" x14ac:dyDescent="0.2">
      <c r="A16" s="984" t="s">
        <v>889</v>
      </c>
      <c r="B16" s="982"/>
      <c r="C16" s="53" t="s">
        <v>894</v>
      </c>
      <c r="D16" s="982">
        <v>10.52</v>
      </c>
      <c r="E16" s="983"/>
      <c r="F16" s="46"/>
      <c r="G16" s="46"/>
      <c r="H16" s="46"/>
      <c r="I16" s="46"/>
    </row>
    <row r="17" spans="1:9" x14ac:dyDescent="0.2">
      <c r="A17" s="984" t="s">
        <v>895</v>
      </c>
      <c r="B17" s="982"/>
      <c r="C17" s="53" t="s">
        <v>890</v>
      </c>
      <c r="D17" s="982">
        <v>7749</v>
      </c>
      <c r="E17" s="983"/>
      <c r="F17" s="46"/>
      <c r="G17" s="46"/>
      <c r="H17" s="46"/>
      <c r="I17" s="46"/>
    </row>
    <row r="18" spans="1:9" x14ac:dyDescent="0.2">
      <c r="A18" s="984" t="s">
        <v>895</v>
      </c>
      <c r="B18" s="982"/>
      <c r="C18" s="53" t="s">
        <v>894</v>
      </c>
      <c r="D18" s="982">
        <v>620</v>
      </c>
      <c r="E18" s="983"/>
      <c r="F18" s="46"/>
      <c r="G18" s="46"/>
      <c r="H18" s="46"/>
      <c r="I18" s="46"/>
    </row>
    <row r="19" spans="1:9" ht="31.5" customHeight="1" x14ac:dyDescent="0.2">
      <c r="A19" s="707" t="s">
        <v>896</v>
      </c>
      <c r="B19" s="708"/>
      <c r="C19" s="708"/>
      <c r="D19" s="708"/>
      <c r="E19" s="709"/>
      <c r="F19" s="46"/>
      <c r="G19" s="46"/>
      <c r="H19" s="46"/>
      <c r="I19" s="46"/>
    </row>
    <row r="20" spans="1:9" x14ac:dyDescent="0.2">
      <c r="A20" s="88" t="s">
        <v>240</v>
      </c>
      <c r="B20" s="87" t="s">
        <v>887</v>
      </c>
      <c r="C20" s="87" t="s">
        <v>897</v>
      </c>
      <c r="D20" s="986" t="s">
        <v>898</v>
      </c>
      <c r="E20" s="987"/>
      <c r="F20" s="46"/>
      <c r="G20" s="46"/>
      <c r="H20" s="46"/>
      <c r="I20" s="46"/>
    </row>
    <row r="21" spans="1:9" ht="15.75" customHeight="1" x14ac:dyDescent="0.2">
      <c r="A21" s="55" t="s">
        <v>899</v>
      </c>
      <c r="B21" s="53" t="s">
        <v>890</v>
      </c>
      <c r="C21" s="53" t="s">
        <v>900</v>
      </c>
      <c r="D21" s="982">
        <v>7.8</v>
      </c>
      <c r="E21" s="983"/>
      <c r="F21" s="46"/>
      <c r="G21" s="46"/>
      <c r="H21" s="46"/>
      <c r="I21" s="46"/>
    </row>
    <row r="22" spans="1:9" ht="15.75" customHeight="1" x14ac:dyDescent="0.2">
      <c r="A22" s="55" t="s">
        <v>899</v>
      </c>
      <c r="B22" s="53" t="s">
        <v>891</v>
      </c>
      <c r="C22" s="53" t="s">
        <v>900</v>
      </c>
      <c r="D22" s="982">
        <v>25</v>
      </c>
      <c r="E22" s="983"/>
      <c r="F22" s="46"/>
      <c r="G22" s="46"/>
      <c r="H22" s="46"/>
      <c r="I22" s="46"/>
    </row>
    <row r="23" spans="1:9" ht="15.75" customHeight="1" x14ac:dyDescent="0.2">
      <c r="A23" s="55" t="s">
        <v>899</v>
      </c>
      <c r="B23" s="53" t="s">
        <v>893</v>
      </c>
      <c r="C23" s="53" t="s">
        <v>900</v>
      </c>
      <c r="D23" s="982">
        <v>5</v>
      </c>
      <c r="E23" s="983"/>
      <c r="F23" s="46"/>
      <c r="G23" s="46"/>
      <c r="H23" s="46"/>
      <c r="I23" s="46"/>
    </row>
    <row r="24" spans="1:9" ht="15.75" customHeight="1" x14ac:dyDescent="0.2">
      <c r="A24" s="55" t="s">
        <v>899</v>
      </c>
      <c r="B24" s="53" t="s">
        <v>894</v>
      </c>
      <c r="C24" s="53" t="s">
        <v>900</v>
      </c>
      <c r="D24" s="982">
        <v>1</v>
      </c>
      <c r="E24" s="983"/>
      <c r="F24" s="46"/>
      <c r="G24" s="46"/>
      <c r="H24" s="46"/>
      <c r="I24" s="46"/>
    </row>
    <row r="25" spans="1:9" x14ac:dyDescent="0.2">
      <c r="A25" s="55" t="s">
        <v>247</v>
      </c>
      <c r="B25" s="53" t="s">
        <v>890</v>
      </c>
      <c r="C25" s="53" t="s">
        <v>900</v>
      </c>
      <c r="D25" s="982">
        <v>2000</v>
      </c>
      <c r="E25" s="983"/>
      <c r="F25" s="46"/>
      <c r="G25" s="46"/>
      <c r="H25" s="46"/>
      <c r="I25" s="46"/>
    </row>
    <row r="26" spans="1:9" x14ac:dyDescent="0.2">
      <c r="A26" s="55" t="s">
        <v>247</v>
      </c>
      <c r="B26" s="53" t="s">
        <v>892</v>
      </c>
      <c r="C26" s="53" t="s">
        <v>900</v>
      </c>
      <c r="D26" s="982">
        <v>500</v>
      </c>
      <c r="E26" s="983"/>
      <c r="F26" s="46"/>
      <c r="G26" s="46"/>
      <c r="H26" s="46"/>
      <c r="I26" s="46"/>
    </row>
    <row r="27" spans="1:9" ht="15.75" customHeight="1" x14ac:dyDescent="0.2">
      <c r="A27" s="55" t="s">
        <v>901</v>
      </c>
      <c r="B27" s="53" t="s">
        <v>893</v>
      </c>
      <c r="C27" s="53" t="s">
        <v>900</v>
      </c>
      <c r="D27" s="982">
        <v>5</v>
      </c>
      <c r="E27" s="983"/>
      <c r="F27" s="46"/>
      <c r="G27" s="46"/>
      <c r="H27" s="46"/>
      <c r="I27" s="46"/>
    </row>
    <row r="28" spans="1:9" ht="15.75" customHeight="1" x14ac:dyDescent="0.2">
      <c r="A28" s="55" t="s">
        <v>902</v>
      </c>
      <c r="B28" s="53" t="s">
        <v>893</v>
      </c>
      <c r="C28" s="53" t="s">
        <v>900</v>
      </c>
      <c r="D28" s="982">
        <v>1.2</v>
      </c>
      <c r="E28" s="983"/>
      <c r="F28" s="46"/>
      <c r="G28" s="46"/>
      <c r="H28" s="46"/>
      <c r="I28" s="46"/>
    </row>
    <row r="29" spans="1:9" ht="15.75" customHeight="1" x14ac:dyDescent="0.2">
      <c r="A29" s="55" t="s">
        <v>902</v>
      </c>
      <c r="B29" s="53" t="s">
        <v>894</v>
      </c>
      <c r="C29" s="53" t="s">
        <v>900</v>
      </c>
      <c r="D29" s="982">
        <v>0.2</v>
      </c>
      <c r="E29" s="983"/>
      <c r="F29" s="46"/>
      <c r="G29" s="46"/>
      <c r="H29" s="46"/>
      <c r="I29" s="46"/>
    </row>
    <row r="30" spans="1:9" ht="15.75" customHeight="1" x14ac:dyDescent="0.2">
      <c r="A30" s="55" t="s">
        <v>903</v>
      </c>
      <c r="B30" s="53" t="s">
        <v>890</v>
      </c>
      <c r="C30" s="53" t="s">
        <v>900</v>
      </c>
      <c r="D30" s="982">
        <v>7.5</v>
      </c>
      <c r="E30" s="983"/>
      <c r="F30" s="46"/>
      <c r="G30" s="46"/>
      <c r="H30" s="46"/>
      <c r="I30" s="46"/>
    </row>
    <row r="31" spans="1:9" ht="15.75" customHeight="1" x14ac:dyDescent="0.2">
      <c r="A31" s="55" t="s">
        <v>903</v>
      </c>
      <c r="B31" s="53" t="s">
        <v>894</v>
      </c>
      <c r="C31" s="53" t="s">
        <v>900</v>
      </c>
      <c r="D31" s="982">
        <v>1</v>
      </c>
      <c r="E31" s="983"/>
      <c r="F31" s="46"/>
      <c r="G31" s="46"/>
      <c r="H31" s="46"/>
      <c r="I31" s="46"/>
    </row>
    <row r="32" spans="1:9" ht="15.75" customHeight="1" x14ac:dyDescent="0.2">
      <c r="A32" s="55" t="s">
        <v>899</v>
      </c>
      <c r="B32" s="53" t="s">
        <v>890</v>
      </c>
      <c r="C32" s="53" t="s">
        <v>904</v>
      </c>
      <c r="D32" s="982">
        <v>14.3</v>
      </c>
      <c r="E32" s="983"/>
      <c r="F32" s="46"/>
      <c r="G32" s="46"/>
      <c r="H32" s="46"/>
      <c r="I32" s="46"/>
    </row>
    <row r="33" spans="1:9" ht="15.75" customHeight="1" x14ac:dyDescent="0.2">
      <c r="A33" s="55" t="s">
        <v>905</v>
      </c>
      <c r="B33" s="53" t="s">
        <v>890</v>
      </c>
      <c r="C33" s="53" t="s">
        <v>904</v>
      </c>
      <c r="D33" s="982">
        <v>1</v>
      </c>
      <c r="E33" s="983"/>
      <c r="F33" s="46"/>
      <c r="G33" s="46"/>
      <c r="H33" s="46"/>
      <c r="I33" s="46"/>
    </row>
    <row r="34" spans="1:9" ht="15.75" customHeight="1" x14ac:dyDescent="0.2">
      <c r="A34" s="55" t="s">
        <v>905</v>
      </c>
      <c r="B34" s="53" t="s">
        <v>893</v>
      </c>
      <c r="C34" s="53" t="s">
        <v>904</v>
      </c>
      <c r="D34" s="982">
        <v>0.3</v>
      </c>
      <c r="E34" s="983"/>
      <c r="F34" s="46"/>
      <c r="G34" s="46"/>
      <c r="H34" s="46"/>
      <c r="I34" s="46"/>
    </row>
    <row r="35" spans="1:9" ht="15.75" customHeight="1" x14ac:dyDescent="0.2">
      <c r="A35" s="55" t="s">
        <v>906</v>
      </c>
      <c r="B35" s="53" t="s">
        <v>890</v>
      </c>
      <c r="C35" s="53" t="s">
        <v>907</v>
      </c>
      <c r="D35" s="982">
        <v>18</v>
      </c>
      <c r="E35" s="983"/>
      <c r="F35" s="46"/>
      <c r="G35" s="46"/>
      <c r="H35" s="46"/>
      <c r="I35" s="46"/>
    </row>
    <row r="36" spans="1:9" ht="15.75" customHeight="1" x14ac:dyDescent="0.2">
      <c r="A36" s="55" t="s">
        <v>906</v>
      </c>
      <c r="B36" s="53" t="s">
        <v>894</v>
      </c>
      <c r="C36" s="53" t="s">
        <v>907</v>
      </c>
      <c r="D36" s="982">
        <v>9.1999999999999993</v>
      </c>
      <c r="E36" s="983"/>
      <c r="F36" s="46"/>
      <c r="G36" s="46"/>
      <c r="H36" s="46"/>
      <c r="I36" s="46"/>
    </row>
    <row r="37" spans="1:9" ht="15.75" customHeight="1" x14ac:dyDescent="0.2">
      <c r="A37" s="55" t="s">
        <v>908</v>
      </c>
      <c r="B37" s="53" t="s">
        <v>890</v>
      </c>
      <c r="C37" s="53" t="s">
        <v>907</v>
      </c>
      <c r="D37" s="976">
        <v>100</v>
      </c>
      <c r="E37" s="977"/>
      <c r="F37" s="46"/>
      <c r="G37" s="46"/>
      <c r="H37" s="46"/>
      <c r="I37" s="46"/>
    </row>
    <row r="38" spans="1:9" ht="15.75" customHeight="1" x14ac:dyDescent="0.2">
      <c r="A38" s="55" t="s">
        <v>908</v>
      </c>
      <c r="B38" s="53" t="s">
        <v>894</v>
      </c>
      <c r="C38" s="53" t="s">
        <v>907</v>
      </c>
      <c r="D38" s="976">
        <v>10</v>
      </c>
      <c r="E38" s="977"/>
      <c r="F38" s="46"/>
      <c r="G38" s="46"/>
      <c r="H38" s="46"/>
      <c r="I38" s="46"/>
    </row>
    <row r="39" spans="1:9" x14ac:dyDescent="0.2">
      <c r="A39" s="55" t="s">
        <v>909</v>
      </c>
      <c r="B39" s="53" t="s">
        <v>890</v>
      </c>
      <c r="C39" s="53" t="s">
        <v>907</v>
      </c>
      <c r="D39" s="982">
        <v>2000</v>
      </c>
      <c r="E39" s="983"/>
      <c r="F39" s="46"/>
      <c r="G39" s="46"/>
      <c r="H39" s="46"/>
      <c r="I39" s="46"/>
    </row>
    <row r="40" spans="1:9" x14ac:dyDescent="0.2">
      <c r="A40" s="55" t="s">
        <v>909</v>
      </c>
      <c r="B40" s="53" t="s">
        <v>894</v>
      </c>
      <c r="C40" s="53" t="s">
        <v>907</v>
      </c>
      <c r="D40" s="982">
        <v>100</v>
      </c>
      <c r="E40" s="983"/>
      <c r="F40" s="46"/>
      <c r="G40" s="46"/>
      <c r="H40" s="46"/>
      <c r="I40" s="46"/>
    </row>
    <row r="41" spans="1:9" ht="60" customHeight="1" x14ac:dyDescent="0.2">
      <c r="A41" s="707" t="s">
        <v>910</v>
      </c>
      <c r="B41" s="708"/>
      <c r="C41" s="708"/>
      <c r="D41" s="708"/>
      <c r="E41" s="709"/>
      <c r="F41" s="46"/>
      <c r="G41" s="46"/>
      <c r="H41" s="46"/>
      <c r="I41" s="46"/>
    </row>
    <row r="42" spans="1:9" ht="18" customHeight="1" x14ac:dyDescent="0.2">
      <c r="A42" s="1008" t="s">
        <v>911</v>
      </c>
      <c r="B42" s="859"/>
      <c r="C42" s="859"/>
      <c r="D42" s="859"/>
      <c r="E42" s="860"/>
      <c r="F42" s="46"/>
      <c r="G42" s="46"/>
      <c r="H42" s="46"/>
      <c r="I42" s="46"/>
    </row>
    <row r="43" spans="1:9" ht="18" customHeight="1" x14ac:dyDescent="0.2">
      <c r="A43" s="1008" t="s">
        <v>912</v>
      </c>
      <c r="B43" s="859"/>
      <c r="C43" s="859"/>
      <c r="D43" s="859"/>
      <c r="E43" s="860"/>
      <c r="F43" s="46"/>
      <c r="G43" s="46"/>
      <c r="H43" s="46"/>
      <c r="I43" s="46"/>
    </row>
    <row r="44" spans="1:9" ht="45" customHeight="1" x14ac:dyDescent="0.2">
      <c r="A44" s="707" t="s">
        <v>913</v>
      </c>
      <c r="B44" s="859"/>
      <c r="C44" s="859"/>
      <c r="D44" s="859"/>
      <c r="E44" s="860"/>
      <c r="F44" s="46"/>
      <c r="G44" s="46"/>
      <c r="H44" s="46"/>
      <c r="I44" s="46"/>
    </row>
    <row r="45" spans="1:9" ht="18" customHeight="1" x14ac:dyDescent="0.2">
      <c r="A45" s="1008" t="s">
        <v>914</v>
      </c>
      <c r="B45" s="859"/>
      <c r="C45" s="859"/>
      <c r="D45" s="859"/>
      <c r="E45" s="860"/>
      <c r="F45" s="46"/>
      <c r="G45" s="46"/>
      <c r="H45" s="46"/>
      <c r="I45" s="46"/>
    </row>
    <row r="46" spans="1:9" ht="15" customHeight="1" x14ac:dyDescent="0.2">
      <c r="A46" s="869" t="s">
        <v>915</v>
      </c>
      <c r="B46" s="1001"/>
      <c r="C46" s="1001"/>
      <c r="D46" s="1001"/>
      <c r="E46" s="1002"/>
    </row>
    <row r="47" spans="1:9" x14ac:dyDescent="0.2">
      <c r="A47" s="985" t="s">
        <v>240</v>
      </c>
      <c r="B47" s="986"/>
      <c r="C47" s="87" t="s">
        <v>887</v>
      </c>
      <c r="D47" s="986" t="s">
        <v>916</v>
      </c>
      <c r="E47" s="987"/>
    </row>
    <row r="48" spans="1:9" ht="15.75" customHeight="1" x14ac:dyDescent="0.2">
      <c r="A48" s="978" t="s">
        <v>899</v>
      </c>
      <c r="B48" s="979"/>
      <c r="C48" s="53" t="s">
        <v>917</v>
      </c>
      <c r="D48" s="982">
        <v>5.8999999999999997E-2</v>
      </c>
      <c r="E48" s="983"/>
    </row>
    <row r="49" spans="1:5" ht="15.75" customHeight="1" x14ac:dyDescent="0.2">
      <c r="A49" s="978" t="s">
        <v>899</v>
      </c>
      <c r="B49" s="979"/>
      <c r="C49" s="53" t="s">
        <v>918</v>
      </c>
      <c r="D49" s="982">
        <v>8.8000000000000005E-3</v>
      </c>
      <c r="E49" s="983"/>
    </row>
    <row r="50" spans="1:5" x14ac:dyDescent="0.2">
      <c r="A50" s="984" t="s">
        <v>247</v>
      </c>
      <c r="B50" s="982"/>
      <c r="C50" s="53" t="s">
        <v>917</v>
      </c>
      <c r="D50" s="982">
        <v>5.43</v>
      </c>
      <c r="E50" s="983"/>
    </row>
    <row r="51" spans="1:5" ht="15.75" customHeight="1" x14ac:dyDescent="0.2">
      <c r="A51" s="984" t="s">
        <v>901</v>
      </c>
      <c r="B51" s="982"/>
      <c r="C51" s="53" t="s">
        <v>917</v>
      </c>
      <c r="D51" s="982">
        <v>2.1999999999999999E-2</v>
      </c>
      <c r="E51" s="983"/>
    </row>
    <row r="52" spans="1:5" ht="15.75" customHeight="1" x14ac:dyDescent="0.2">
      <c r="A52" s="984" t="s">
        <v>902</v>
      </c>
      <c r="B52" s="982"/>
      <c r="C52" s="53" t="s">
        <v>917</v>
      </c>
      <c r="D52" s="982">
        <v>2.1999999999999999E-2</v>
      </c>
      <c r="E52" s="983"/>
    </row>
    <row r="53" spans="1:5" ht="15.75" customHeight="1" x14ac:dyDescent="0.2">
      <c r="A53" s="984" t="s">
        <v>902</v>
      </c>
      <c r="B53" s="982"/>
      <c r="C53" s="53" t="s">
        <v>918</v>
      </c>
      <c r="D53" s="982">
        <v>3.3999999999999998E-3</v>
      </c>
      <c r="E53" s="983"/>
    </row>
    <row r="54" spans="1:5" ht="15.75" customHeight="1" x14ac:dyDescent="0.2">
      <c r="A54" s="984" t="s">
        <v>903</v>
      </c>
      <c r="B54" s="982"/>
      <c r="C54" s="53" t="s">
        <v>917</v>
      </c>
      <c r="D54" s="982">
        <v>1.85</v>
      </c>
      <c r="E54" s="983"/>
    </row>
    <row r="55" spans="1:5" ht="15.75" customHeight="1" x14ac:dyDescent="0.2">
      <c r="A55" s="984" t="s">
        <v>903</v>
      </c>
      <c r="B55" s="982"/>
      <c r="C55" s="53" t="s">
        <v>918</v>
      </c>
      <c r="D55" s="982">
        <v>0.27750000000000002</v>
      </c>
      <c r="E55" s="983"/>
    </row>
    <row r="56" spans="1:5" ht="15.75" customHeight="1" x14ac:dyDescent="0.2">
      <c r="A56" s="984" t="s">
        <v>905</v>
      </c>
      <c r="B56" s="982"/>
      <c r="C56" s="53" t="s">
        <v>917</v>
      </c>
      <c r="D56" s="982">
        <v>5.7000000000000002E-3</v>
      </c>
      <c r="E56" s="983"/>
    </row>
    <row r="57" spans="1:5" ht="15.75" customHeight="1" x14ac:dyDescent="0.2">
      <c r="A57" s="984" t="s">
        <v>906</v>
      </c>
      <c r="B57" s="982"/>
      <c r="C57" s="53" t="s">
        <v>917</v>
      </c>
      <c r="D57" s="982">
        <v>0.129</v>
      </c>
      <c r="E57" s="983"/>
    </row>
    <row r="58" spans="1:5" ht="15.75" customHeight="1" x14ac:dyDescent="0.2">
      <c r="A58" s="984" t="s">
        <v>906</v>
      </c>
      <c r="B58" s="982"/>
      <c r="C58" s="53" t="s">
        <v>918</v>
      </c>
      <c r="D58" s="982">
        <v>1.9300000000000001E-2</v>
      </c>
      <c r="E58" s="983"/>
    </row>
    <row r="59" spans="1:5" ht="15.75" customHeight="1" x14ac:dyDescent="0.2">
      <c r="A59" s="978" t="s">
        <v>908</v>
      </c>
      <c r="B59" s="979"/>
      <c r="C59" s="53" t="s">
        <v>917</v>
      </c>
      <c r="D59" s="976">
        <v>2.1000000000000001E-2</v>
      </c>
      <c r="E59" s="977"/>
    </row>
    <row r="60" spans="1:5" ht="15.75" customHeight="1" x14ac:dyDescent="0.2">
      <c r="A60" s="978" t="s">
        <v>908</v>
      </c>
      <c r="B60" s="979"/>
      <c r="C60" s="53" t="s">
        <v>918</v>
      </c>
      <c r="D60" s="980">
        <v>0.09</v>
      </c>
      <c r="E60" s="981"/>
    </row>
    <row r="61" spans="1:5" x14ac:dyDescent="0.2">
      <c r="A61" s="984" t="s">
        <v>909</v>
      </c>
      <c r="B61" s="982"/>
      <c r="C61" s="53" t="s">
        <v>917</v>
      </c>
      <c r="D61" s="1006">
        <v>0.43</v>
      </c>
      <c r="E61" s="1007"/>
    </row>
    <row r="62" spans="1:5" ht="15" thickBot="1" x14ac:dyDescent="0.25">
      <c r="A62" s="990" t="s">
        <v>909</v>
      </c>
      <c r="B62" s="991"/>
      <c r="C62" s="56" t="s">
        <v>918</v>
      </c>
      <c r="D62" s="988">
        <v>1.17</v>
      </c>
      <c r="E62" s="989"/>
    </row>
    <row r="63" spans="1:5" ht="15" thickBot="1" x14ac:dyDescent="0.25">
      <c r="A63" s="998"/>
      <c r="B63" s="998"/>
      <c r="C63" s="998"/>
      <c r="D63" s="998"/>
      <c r="E63" s="999"/>
    </row>
    <row r="64" spans="1:5" ht="17.100000000000001" customHeight="1" thickBot="1" x14ac:dyDescent="0.25">
      <c r="A64" s="992" t="s">
        <v>919</v>
      </c>
      <c r="B64" s="993"/>
      <c r="C64" s="993"/>
      <c r="D64" s="993"/>
      <c r="E64" s="994"/>
    </row>
    <row r="65" spans="1:5" ht="231.75" customHeight="1" x14ac:dyDescent="0.2">
      <c r="A65" s="733" t="s">
        <v>920</v>
      </c>
      <c r="B65" s="1004"/>
      <c r="C65" s="1004"/>
      <c r="D65" s="1004"/>
      <c r="E65" s="1005"/>
    </row>
    <row r="66" spans="1:5" ht="174.75" customHeight="1" thickBot="1" x14ac:dyDescent="0.25">
      <c r="A66" s="1003" t="s">
        <v>921</v>
      </c>
      <c r="B66" s="711"/>
      <c r="C66" s="711"/>
      <c r="D66" s="711"/>
      <c r="E66" s="712"/>
    </row>
    <row r="67" spans="1:5" ht="15" thickBot="1" x14ac:dyDescent="0.25">
      <c r="A67" s="1000"/>
      <c r="B67" s="1000"/>
      <c r="C67" s="1000"/>
      <c r="D67" s="1000"/>
      <c r="E67" s="1000"/>
    </row>
    <row r="68" spans="1:5" ht="17.100000000000001" customHeight="1" thickBot="1" x14ac:dyDescent="0.25">
      <c r="A68" s="995" t="s">
        <v>922</v>
      </c>
      <c r="B68" s="996"/>
      <c r="C68" s="996"/>
      <c r="D68" s="996"/>
      <c r="E68" s="997"/>
    </row>
    <row r="69" spans="1:5" ht="174.75" customHeight="1" x14ac:dyDescent="0.2">
      <c r="A69" s="733" t="s">
        <v>923</v>
      </c>
      <c r="B69" s="1004"/>
      <c r="C69" s="1004"/>
      <c r="D69" s="1004"/>
      <c r="E69" s="1005"/>
    </row>
    <row r="70" spans="1:5" customFormat="1" ht="24.75" customHeight="1" x14ac:dyDescent="0.2">
      <c r="A70" s="869" t="s">
        <v>924</v>
      </c>
      <c r="B70" s="1001"/>
      <c r="C70" s="1001"/>
      <c r="D70" s="1001"/>
      <c r="E70" s="1002"/>
    </row>
    <row r="71" spans="1:5" x14ac:dyDescent="0.2">
      <c r="A71" s="88" t="s">
        <v>886</v>
      </c>
      <c r="B71" s="87" t="s">
        <v>925</v>
      </c>
      <c r="C71" s="87" t="s">
        <v>926</v>
      </c>
      <c r="D71" s="87" t="s">
        <v>927</v>
      </c>
      <c r="E71" s="89" t="s">
        <v>928</v>
      </c>
    </row>
    <row r="72" spans="1:5" x14ac:dyDescent="0.2">
      <c r="A72" s="55" t="s">
        <v>889</v>
      </c>
      <c r="B72" s="53">
        <v>25</v>
      </c>
      <c r="C72" s="53">
        <v>828</v>
      </c>
      <c r="D72" s="53">
        <v>168.7</v>
      </c>
      <c r="E72" s="54">
        <v>0.66</v>
      </c>
    </row>
    <row r="73" spans="1:5" ht="29.25" customHeight="1" x14ac:dyDescent="0.2">
      <c r="A73" s="90" t="s">
        <v>929</v>
      </c>
      <c r="B73" s="91"/>
      <c r="C73" s="91"/>
      <c r="D73" s="91"/>
      <c r="E73" s="92"/>
    </row>
    <row r="74" spans="1:5" x14ac:dyDescent="0.2">
      <c r="A74" s="88" t="s">
        <v>886</v>
      </c>
      <c r="B74" s="87" t="s">
        <v>925</v>
      </c>
      <c r="C74" s="87" t="s">
        <v>930</v>
      </c>
      <c r="D74" s="986" t="s">
        <v>931</v>
      </c>
      <c r="E74" s="987"/>
    </row>
    <row r="75" spans="1:5" x14ac:dyDescent="0.2">
      <c r="A75" s="55" t="s">
        <v>895</v>
      </c>
      <c r="B75" s="53">
        <v>4</v>
      </c>
      <c r="C75" s="53">
        <v>30</v>
      </c>
      <c r="D75" s="982">
        <v>7</v>
      </c>
      <c r="E75" s="983"/>
    </row>
    <row r="76" spans="1:5" ht="145.5" customHeight="1" thickBot="1" x14ac:dyDescent="0.25">
      <c r="A76" s="1003" t="s">
        <v>932</v>
      </c>
      <c r="B76" s="711"/>
      <c r="C76" s="711"/>
      <c r="D76" s="711"/>
      <c r="E76" s="712"/>
    </row>
    <row r="77" spans="1:5" ht="8.4499999999999993" customHeight="1" x14ac:dyDescent="0.2">
      <c r="A77" s="1020"/>
      <c r="B77" s="1020"/>
      <c r="C77" s="1020"/>
      <c r="D77" s="1020"/>
      <c r="E77" s="1020"/>
    </row>
    <row r="78" spans="1:5" x14ac:dyDescent="0.2">
      <c r="A78" s="883" t="str">
        <f t="shared" ref="A78" si="0">HYPERLINK("#Sheet_Tox","End of sheet. Click here to move to the next sheet.")</f>
        <v>End of sheet. Click here to move to the next sheet.</v>
      </c>
      <c r="B78" s="883"/>
      <c r="C78" s="883"/>
      <c r="D78" s="883"/>
      <c r="E78" s="883"/>
    </row>
    <row r="79" spans="1:5" ht="8.4499999999999993" hidden="1" customHeight="1" x14ac:dyDescent="0.2">
      <c r="A79" s="742"/>
      <c r="B79" s="742"/>
      <c r="C79" s="742"/>
      <c r="D79" s="742"/>
      <c r="E79" s="742"/>
    </row>
  </sheetData>
  <sheetProtection algorithmName="SHA-512" hashValue="FyGh2DIn/BytP2hVzxSPiy370/VL0zzMmQpsC68Ac4GxE3kE+ByCvWAwyu7tC5o9licqUcH9Y1OEFgRU9mMmTw==" saltValue="tcoqLH9OURWoHDwOqaEWyg==" spinCount="100000" sheet="1" objects="1" scenarios="1" formatColumns="0" formatRows="0" autoFilter="0"/>
  <mergeCells count="100">
    <mergeCell ref="A79:E79"/>
    <mergeCell ref="A77:E77"/>
    <mergeCell ref="A12:B12"/>
    <mergeCell ref="A13:B13"/>
    <mergeCell ref="A14:B14"/>
    <mergeCell ref="A15:B15"/>
    <mergeCell ref="D17:E17"/>
    <mergeCell ref="D12:E12"/>
    <mergeCell ref="D13:E13"/>
    <mergeCell ref="A17:B17"/>
    <mergeCell ref="D14:E14"/>
    <mergeCell ref="D15:E15"/>
    <mergeCell ref="D16:E16"/>
    <mergeCell ref="A16:B16"/>
    <mergeCell ref="A46:E46"/>
    <mergeCell ref="D29:E29"/>
    <mergeCell ref="A19:E19"/>
    <mergeCell ref="A18:B18"/>
    <mergeCell ref="D18:E18"/>
    <mergeCell ref="A78:E78"/>
    <mergeCell ref="D34:E34"/>
    <mergeCell ref="D35:E35"/>
    <mergeCell ref="D33:E33"/>
    <mergeCell ref="A41:E41"/>
    <mergeCell ref="D20:E20"/>
    <mergeCell ref="D21:E21"/>
    <mergeCell ref="D22:E22"/>
    <mergeCell ref="D23:E23"/>
    <mergeCell ref="D24:E24"/>
    <mergeCell ref="D25:E25"/>
    <mergeCell ref="D26:E26"/>
    <mergeCell ref="D27:E27"/>
    <mergeCell ref="A6:E6"/>
    <mergeCell ref="A1:E1"/>
    <mergeCell ref="A2:E2"/>
    <mergeCell ref="D11:E11"/>
    <mergeCell ref="A9:E9"/>
    <mergeCell ref="A3:E3"/>
    <mergeCell ref="A8:E8"/>
    <mergeCell ref="A10:E10"/>
    <mergeCell ref="A4:E4"/>
    <mergeCell ref="A7:E7"/>
    <mergeCell ref="A11:B11"/>
    <mergeCell ref="A5:E5"/>
    <mergeCell ref="D28:E28"/>
    <mergeCell ref="D30:E30"/>
    <mergeCell ref="D31:E31"/>
    <mergeCell ref="D32:E32"/>
    <mergeCell ref="D36:E36"/>
    <mergeCell ref="D39:E39"/>
    <mergeCell ref="D40:E40"/>
    <mergeCell ref="D48:E48"/>
    <mergeCell ref="A49:B49"/>
    <mergeCell ref="D49:E49"/>
    <mergeCell ref="A44:E44"/>
    <mergeCell ref="A42:E42"/>
    <mergeCell ref="A43:E43"/>
    <mergeCell ref="A45:E45"/>
    <mergeCell ref="A76:E76"/>
    <mergeCell ref="A69:E69"/>
    <mergeCell ref="A65:E65"/>
    <mergeCell ref="D61:E61"/>
    <mergeCell ref="A53:B53"/>
    <mergeCell ref="A54:B54"/>
    <mergeCell ref="A55:B55"/>
    <mergeCell ref="A56:B56"/>
    <mergeCell ref="A57:B57"/>
    <mergeCell ref="D53:E53"/>
    <mergeCell ref="D54:E54"/>
    <mergeCell ref="D55:E55"/>
    <mergeCell ref="D56:E56"/>
    <mergeCell ref="A61:B61"/>
    <mergeCell ref="A58:B58"/>
    <mergeCell ref="D57:E57"/>
    <mergeCell ref="D62:E62"/>
    <mergeCell ref="D74:E74"/>
    <mergeCell ref="D75:E75"/>
    <mergeCell ref="A62:B62"/>
    <mergeCell ref="A64:E64"/>
    <mergeCell ref="A68:E68"/>
    <mergeCell ref="A63:E63"/>
    <mergeCell ref="A67:E67"/>
    <mergeCell ref="A70:E70"/>
    <mergeCell ref="A66:E66"/>
    <mergeCell ref="D37:E37"/>
    <mergeCell ref="D38:E38"/>
    <mergeCell ref="A59:B59"/>
    <mergeCell ref="A60:B60"/>
    <mergeCell ref="D59:E59"/>
    <mergeCell ref="D60:E60"/>
    <mergeCell ref="D58:E58"/>
    <mergeCell ref="A50:B50"/>
    <mergeCell ref="A51:B51"/>
    <mergeCell ref="A52:B52"/>
    <mergeCell ref="D52:E52"/>
    <mergeCell ref="D50:E50"/>
    <mergeCell ref="D51:E51"/>
    <mergeCell ref="A47:B47"/>
    <mergeCell ref="A48:B48"/>
    <mergeCell ref="D47:E47"/>
  </mergeCells>
  <hyperlinks>
    <hyperlink ref="A42" r:id="rId1" xr:uid="{F4ACC477-1BE5-4E23-A0D5-83984562D701}"/>
    <hyperlink ref="A43" r:id="rId2" xr:uid="{AA90D5BB-03CF-478C-BDD4-0D6CF704F1F2}"/>
    <hyperlink ref="A45" r:id="rId3" xr:uid="{D6DC63F9-690D-4B4E-A942-7BAB3DD7279C}"/>
  </hyperlinks>
  <printOptions horizontalCentered="1"/>
  <pageMargins left="0.25" right="0.25" top="0.57395833333333302" bottom="0.61354166666666698" header="0.3" footer="0.3"/>
  <pageSetup scale="73" fitToHeight="0" orientation="portrait" r:id="rId4"/>
  <headerFooter>
    <oddHeader>&amp;C&amp;"Arial,Regular"Engine Power Generation RAP Application</oddHeader>
    <oddFooter>&amp;L&amp;"Arial,Regular"Version: 1.0&amp;C&amp;"Arial,Regular"Sheet: &amp;A&amp;R&amp;"Arial,Regular"Page &amp;P</oddFooter>
  </headerFooter>
  <rowBreaks count="3" manualBreakCount="3">
    <brk id="18" max="16383" man="1"/>
    <brk id="45" max="16383" man="1"/>
    <brk id="67" max="16383" man="1"/>
  </rowBreaks>
  <extLst>
    <ext xmlns:x14="http://schemas.microsoft.com/office/spreadsheetml/2009/9/main" uri="{78C0D931-6437-407d-A8EE-F0AAD7539E65}">
      <x14:conditionalFormattings>
        <x14:conditionalFormatting xmlns:xm="http://schemas.microsoft.com/office/excel/2006/main">
          <x14:cfRule type="expression" priority="314" id="{7AD0FF77-FCCD-4EC2-B7FD-0D0DA38AEA54}">
            <xm:f>ENGINE1!$B$21="No"</xm:f>
            <x14:dxf>
              <font>
                <color theme="0" tint="-0.24994659260841701"/>
              </font>
              <numFmt numFmtId="174" formatCode=";;;"/>
              <fill>
                <patternFill>
                  <bgColor theme="0" tint="-0.499984740745262"/>
                </patternFill>
              </fill>
            </x14:dxf>
          </x14:cfRule>
          <xm:sqref>A35:E38 A57:E60</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6B736-B327-4FEE-9F74-DEE0E3A3B006}">
  <sheetPr codeName="Sheet34">
    <tabColor rgb="FFDCDCFF"/>
  </sheetPr>
  <dimension ref="A1:B11"/>
  <sheetViews>
    <sheetView showGridLines="0" zoomScaleNormal="100" workbookViewId="0"/>
  </sheetViews>
  <sheetFormatPr defaultColWidth="0" defaultRowHeight="14.25" zeroHeight="1" x14ac:dyDescent="0.2"/>
  <cols>
    <col min="1" max="1" width="117.25" customWidth="1"/>
    <col min="2" max="2" width="2.625" customWidth="1"/>
    <col min="3" max="16384" width="9" hidden="1"/>
  </cols>
  <sheetData>
    <row r="1" spans="1:1" ht="18.75" customHeight="1" thickBot="1" x14ac:dyDescent="0.25">
      <c r="A1" s="98" t="s">
        <v>933</v>
      </c>
    </row>
    <row r="2" spans="1:1" ht="87" thickBot="1" x14ac:dyDescent="0.25">
      <c r="A2" s="93" t="s">
        <v>934</v>
      </c>
    </row>
    <row r="3" spans="1:1" ht="15" thickBot="1" x14ac:dyDescent="0.25">
      <c r="A3" s="95"/>
    </row>
    <row r="4" spans="1:1" ht="72" thickBot="1" x14ac:dyDescent="0.25">
      <c r="A4" s="96" t="s">
        <v>935</v>
      </c>
    </row>
    <row r="5" spans="1:1" ht="15" thickBot="1" x14ac:dyDescent="0.25">
      <c r="A5" s="95"/>
    </row>
    <row r="6" spans="1:1" ht="113.25" customHeight="1" x14ac:dyDescent="0.2">
      <c r="A6" s="94" t="s">
        <v>1016</v>
      </c>
    </row>
    <row r="7" spans="1:1" ht="127.5" customHeight="1" x14ac:dyDescent="0.2">
      <c r="A7" s="472" t="s">
        <v>936</v>
      </c>
    </row>
    <row r="8" spans="1:1" ht="43.5" thickBot="1" x14ac:dyDescent="0.25">
      <c r="A8" s="473" t="s">
        <v>937</v>
      </c>
    </row>
    <row r="9" spans="1:1" ht="8.4499999999999993" customHeight="1" x14ac:dyDescent="0.2">
      <c r="A9" s="97"/>
    </row>
    <row r="10" spans="1:1" x14ac:dyDescent="0.2">
      <c r="A10" s="86" t="str">
        <f>HYPERLINK("#Sheet_CND","End of sheet. Click here to move to the next sheet.")</f>
        <v>End of sheet. Click here to move to the next sheet.</v>
      </c>
    </row>
    <row r="11" spans="1:1" ht="8.4499999999999993" hidden="1" customHeight="1" x14ac:dyDescent="0.2">
      <c r="A11" s="97"/>
    </row>
  </sheetData>
  <sheetProtection algorithmName="SHA-512" hashValue="T4ARi+Kliue5oNnQq1aKXEeZokYD7gRvR8OBo9fS+itiKBbnmXlhJCw2KCK5ED83CvkrunNMii0ye0zqnB8fuQ==" saltValue="K6iMVdoix803CTC4xaiOcw==" spinCount="100000" sheet="1" objects="1" scenarios="1" formatColumns="0" formatRows="0" autoFilter="0"/>
  <printOptions horizontalCentered="1"/>
  <pageMargins left="0.25" right="0.25" top="0.57395833333333302" bottom="0.61354166666666698" header="0.3" footer="0.3"/>
  <pageSetup scale="73" fitToHeight="0" orientation="portrait" r:id="rId1"/>
  <headerFooter>
    <oddHeader>&amp;C&amp;"Arial,Regular"Engine Power Generation RAP Application</oddHeader>
    <oddFooter>&amp;L&amp;"Arial,Regular"Version: 1.0&amp;C&amp;"Arial,Regular"Sheet: &amp;A&amp;R&amp;"Arial,Regular"Page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688D3-2ACB-4AF3-8EBE-49B4DE026AFF}">
  <sheetPr codeName="Sheet31">
    <tabColor rgb="FFFFDCDC"/>
  </sheetPr>
  <dimension ref="A1:C49"/>
  <sheetViews>
    <sheetView showGridLines="0" zoomScaleNormal="100" workbookViewId="0">
      <selection sqref="A1:B1"/>
    </sheetView>
  </sheetViews>
  <sheetFormatPr defaultColWidth="0" defaultRowHeight="14.25" zeroHeight="1" x14ac:dyDescent="0.2"/>
  <cols>
    <col min="1" max="1" width="25.625" style="52" customWidth="1"/>
    <col min="2" max="2" width="90.625" customWidth="1"/>
    <col min="3" max="3" width="2.625" customWidth="1"/>
    <col min="4" max="16384" width="9" hidden="1"/>
  </cols>
  <sheetData>
    <row r="1" spans="1:2" ht="18.75" customHeight="1" thickBot="1" x14ac:dyDescent="0.25">
      <c r="A1" s="1012" t="s">
        <v>938</v>
      </c>
      <c r="B1" s="1014"/>
    </row>
    <row r="2" spans="1:2" ht="90" customHeight="1" thickBot="1" x14ac:dyDescent="0.25">
      <c r="A2" s="762" t="s">
        <v>1074</v>
      </c>
      <c r="B2" s="857"/>
    </row>
    <row r="3" spans="1:2" ht="15" customHeight="1" thickBot="1" x14ac:dyDescent="0.25">
      <c r="A3"/>
    </row>
    <row r="4" spans="1:2" s="198" customFormat="1" ht="17.100000000000001" customHeight="1" thickBot="1" x14ac:dyDescent="0.25">
      <c r="A4" s="995" t="s">
        <v>939</v>
      </c>
      <c r="B4" s="997"/>
    </row>
    <row r="5" spans="1:2" ht="20.100000000000001" customHeight="1" thickBot="1" x14ac:dyDescent="0.25">
      <c r="A5" s="307" t="s">
        <v>940</v>
      </c>
      <c r="B5" s="308" t="s">
        <v>941</v>
      </c>
    </row>
    <row r="6" spans="1:2" ht="69.95" customHeight="1" thickBot="1" x14ac:dyDescent="0.25">
      <c r="A6" s="303" t="s">
        <v>942</v>
      </c>
      <c r="B6" s="302" t="s">
        <v>1062</v>
      </c>
    </row>
    <row r="7" spans="1:2" ht="35.1" customHeight="1" x14ac:dyDescent="0.2">
      <c r="A7" s="246" t="s">
        <v>943</v>
      </c>
      <c r="B7" s="264" t="s">
        <v>944</v>
      </c>
    </row>
    <row r="8" spans="1:2" ht="20.100000000000001" customHeight="1" x14ac:dyDescent="0.2">
      <c r="A8" s="304" t="s">
        <v>943</v>
      </c>
      <c r="B8" s="309" t="s">
        <v>945</v>
      </c>
    </row>
    <row r="9" spans="1:2" ht="20.25" customHeight="1" x14ac:dyDescent="0.2">
      <c r="A9" s="304" t="s">
        <v>943</v>
      </c>
      <c r="B9" s="310" t="s">
        <v>946</v>
      </c>
    </row>
    <row r="10" spans="1:2" ht="35.1" customHeight="1" x14ac:dyDescent="0.2">
      <c r="A10" s="304" t="s">
        <v>943</v>
      </c>
      <c r="B10" s="264" t="s">
        <v>947</v>
      </c>
    </row>
    <row r="11" spans="1:2" ht="20.100000000000001" customHeight="1" x14ac:dyDescent="0.2">
      <c r="A11" s="304" t="s">
        <v>943</v>
      </c>
      <c r="B11" s="305" t="s">
        <v>945</v>
      </c>
    </row>
    <row r="12" spans="1:2" ht="35.1" customHeight="1" x14ac:dyDescent="0.2">
      <c r="A12" s="304" t="s">
        <v>943</v>
      </c>
      <c r="B12" s="306" t="s">
        <v>948</v>
      </c>
    </row>
    <row r="13" spans="1:2" ht="72" customHeight="1" x14ac:dyDescent="0.2">
      <c r="A13" s="304" t="s">
        <v>943</v>
      </c>
      <c r="B13" s="635" t="s">
        <v>1073</v>
      </c>
    </row>
    <row r="14" spans="1:2" ht="15" customHeight="1" x14ac:dyDescent="0.2">
      <c r="A14" s="304" t="s">
        <v>943</v>
      </c>
      <c r="B14" s="309" t="s">
        <v>949</v>
      </c>
    </row>
    <row r="15" spans="1:2" ht="45" customHeight="1" thickBot="1" x14ac:dyDescent="0.25">
      <c r="A15" s="304" t="s">
        <v>943</v>
      </c>
      <c r="B15" s="309" t="s">
        <v>950</v>
      </c>
    </row>
    <row r="16" spans="1:2" ht="35.1" customHeight="1" x14ac:dyDescent="0.2">
      <c r="A16" s="683" t="s">
        <v>951</v>
      </c>
      <c r="B16" s="233" t="s">
        <v>1017</v>
      </c>
    </row>
    <row r="17" spans="1:2" ht="20.100000000000001" customHeight="1" x14ac:dyDescent="0.2">
      <c r="A17" s="684" t="s">
        <v>951</v>
      </c>
      <c r="B17" s="685" t="s">
        <v>1018</v>
      </c>
    </row>
    <row r="18" spans="1:2" ht="35.1" customHeight="1" x14ac:dyDescent="0.2">
      <c r="A18" s="684" t="s">
        <v>951</v>
      </c>
      <c r="B18" s="686" t="s">
        <v>1019</v>
      </c>
    </row>
    <row r="19" spans="1:2" ht="35.1" customHeight="1" x14ac:dyDescent="0.2">
      <c r="A19" s="684" t="s">
        <v>951</v>
      </c>
      <c r="B19" s="686" t="s">
        <v>1020</v>
      </c>
    </row>
    <row r="20" spans="1:2" ht="45" customHeight="1" x14ac:dyDescent="0.2">
      <c r="A20" s="684" t="s">
        <v>951</v>
      </c>
      <c r="B20" s="686" t="s">
        <v>1021</v>
      </c>
    </row>
    <row r="21" spans="1:2" ht="20.100000000000001" customHeight="1" x14ac:dyDescent="0.2">
      <c r="A21" s="684" t="s">
        <v>951</v>
      </c>
      <c r="B21" s="682" t="s">
        <v>1022</v>
      </c>
    </row>
    <row r="22" spans="1:2" ht="20.100000000000001" customHeight="1" x14ac:dyDescent="0.2">
      <c r="A22" s="684" t="s">
        <v>951</v>
      </c>
      <c r="B22" s="687" t="s">
        <v>952</v>
      </c>
    </row>
    <row r="23" spans="1:2" ht="35.1" customHeight="1" x14ac:dyDescent="0.2">
      <c r="A23" s="684" t="s">
        <v>951</v>
      </c>
      <c r="B23" s="687" t="s">
        <v>953</v>
      </c>
    </row>
    <row r="24" spans="1:2" ht="20.100000000000001" customHeight="1" x14ac:dyDescent="0.2">
      <c r="A24" s="684" t="s">
        <v>951</v>
      </c>
      <c r="B24" s="688" t="s">
        <v>954</v>
      </c>
    </row>
    <row r="25" spans="1:2" ht="20.100000000000001" customHeight="1" thickBot="1" x14ac:dyDescent="0.25">
      <c r="A25" s="689" t="s">
        <v>951</v>
      </c>
      <c r="B25" s="681" t="s">
        <v>1023</v>
      </c>
    </row>
    <row r="26" spans="1:2" ht="50.1" customHeight="1" x14ac:dyDescent="0.2">
      <c r="A26" s="246" t="s">
        <v>955</v>
      </c>
      <c r="B26" s="264" t="s">
        <v>1024</v>
      </c>
    </row>
    <row r="27" spans="1:2" ht="20.100000000000001" customHeight="1" x14ac:dyDescent="0.2">
      <c r="A27" s="304" t="s">
        <v>955</v>
      </c>
      <c r="B27" s="309" t="s">
        <v>956</v>
      </c>
    </row>
    <row r="28" spans="1:2" ht="20.100000000000001" customHeight="1" x14ac:dyDescent="0.2">
      <c r="A28" s="304" t="s">
        <v>955</v>
      </c>
      <c r="B28" s="309" t="s">
        <v>957</v>
      </c>
    </row>
    <row r="29" spans="1:2" ht="35.1" customHeight="1" x14ac:dyDescent="0.2">
      <c r="A29" s="304" t="s">
        <v>955</v>
      </c>
      <c r="B29" s="311" t="s">
        <v>958</v>
      </c>
    </row>
    <row r="30" spans="1:2" ht="50.1" customHeight="1" x14ac:dyDescent="0.2">
      <c r="A30" s="304" t="s">
        <v>955</v>
      </c>
      <c r="B30" s="264" t="s">
        <v>1025</v>
      </c>
    </row>
    <row r="31" spans="1:2" ht="35.1" customHeight="1" x14ac:dyDescent="0.2">
      <c r="A31" s="304" t="s">
        <v>955</v>
      </c>
      <c r="B31" s="309" t="s">
        <v>959</v>
      </c>
    </row>
    <row r="32" spans="1:2" ht="35.1" customHeight="1" x14ac:dyDescent="0.2">
      <c r="A32" s="304" t="s">
        <v>955</v>
      </c>
      <c r="B32" s="309" t="s">
        <v>960</v>
      </c>
    </row>
    <row r="33" spans="1:2" ht="35.1" customHeight="1" x14ac:dyDescent="0.2">
      <c r="A33" s="304" t="s">
        <v>955</v>
      </c>
      <c r="B33" s="309" t="s">
        <v>961</v>
      </c>
    </row>
    <row r="34" spans="1:2" ht="35.1" customHeight="1" x14ac:dyDescent="0.2">
      <c r="A34" s="304" t="s">
        <v>955</v>
      </c>
      <c r="B34" s="600" t="s">
        <v>962</v>
      </c>
    </row>
    <row r="35" spans="1:2" ht="35.1" customHeight="1" x14ac:dyDescent="0.2">
      <c r="A35" s="599" t="s">
        <v>955</v>
      </c>
      <c r="B35" s="600" t="s">
        <v>1026</v>
      </c>
    </row>
    <row r="36" spans="1:2" ht="20.100000000000001" customHeight="1" x14ac:dyDescent="0.2">
      <c r="A36" s="594" t="s">
        <v>963</v>
      </c>
      <c r="B36" s="595" t="s">
        <v>964</v>
      </c>
    </row>
    <row r="37" spans="1:2" ht="20.100000000000001" customHeight="1" x14ac:dyDescent="0.2">
      <c r="A37" s="596" t="s">
        <v>963</v>
      </c>
      <c r="B37" s="597" t="s">
        <v>965</v>
      </c>
    </row>
    <row r="38" spans="1:2" ht="20.100000000000001" customHeight="1" x14ac:dyDescent="0.2">
      <c r="A38" s="596" t="s">
        <v>963</v>
      </c>
      <c r="B38" s="597" t="s">
        <v>966</v>
      </c>
    </row>
    <row r="39" spans="1:2" ht="20.100000000000001" customHeight="1" x14ac:dyDescent="0.2">
      <c r="A39" s="596" t="s">
        <v>963</v>
      </c>
      <c r="B39" s="597" t="s">
        <v>967</v>
      </c>
    </row>
    <row r="40" spans="1:2" ht="20.100000000000001" customHeight="1" x14ac:dyDescent="0.2">
      <c r="A40" s="596" t="s">
        <v>963</v>
      </c>
      <c r="B40" s="597" t="s">
        <v>968</v>
      </c>
    </row>
    <row r="41" spans="1:2" ht="15" customHeight="1" x14ac:dyDescent="0.2">
      <c r="A41" s="598" t="s">
        <v>963</v>
      </c>
      <c r="B41" s="592" t="s">
        <v>969</v>
      </c>
    </row>
    <row r="42" spans="1:2" ht="15" customHeight="1" x14ac:dyDescent="0.2">
      <c r="A42" s="539"/>
      <c r="B42" s="264"/>
    </row>
    <row r="43" spans="1:2" ht="15" customHeight="1" x14ac:dyDescent="0.2">
      <c r="A43" s="1025" t="s">
        <v>970</v>
      </c>
      <c r="B43" s="1026"/>
    </row>
    <row r="44" spans="1:2" ht="45" customHeight="1" x14ac:dyDescent="0.2">
      <c r="A44" s="943" t="s">
        <v>971</v>
      </c>
      <c r="B44" s="868"/>
    </row>
    <row r="45" spans="1:2" ht="20.100000000000001" customHeight="1" x14ac:dyDescent="0.2">
      <c r="A45" s="1023" t="s">
        <v>972</v>
      </c>
      <c r="B45" s="1024"/>
    </row>
    <row r="46" spans="1:2" ht="30" customHeight="1" thickBot="1" x14ac:dyDescent="0.25">
      <c r="A46" s="1021"/>
      <c r="B46" s="1022"/>
    </row>
    <row r="47" spans="1:2" ht="15" customHeight="1" x14ac:dyDescent="0.2">
      <c r="A47" s="1020"/>
      <c r="B47" s="1020"/>
    </row>
    <row r="48" spans="1:2" ht="15" customHeight="1" x14ac:dyDescent="0.2">
      <c r="A48" s="899" t="str">
        <f>HYPERLINK("#Sheet_Project_Summary","End of sheet. Click here to move to the Project Summary sheet.")</f>
        <v>End of sheet. Click here to move to the Project Summary sheet.</v>
      </c>
      <c r="B48" s="858"/>
    </row>
    <row r="49" spans="1:2" hidden="1" x14ac:dyDescent="0.2">
      <c r="A49" s="742"/>
      <c r="B49" s="742"/>
    </row>
  </sheetData>
  <sheetProtection algorithmName="SHA-512" hashValue="YS8oLBUi4dcG5olFJYJ3Hxuk3vFLLX7obWpgdE9rNh9gUr4hSXFapiv8INtHBHyXZ6SnvmHgs9CSSWrdIEdLew==" saltValue="JeWQxDmoohO5lKeaGtKJgA==" spinCount="100000" sheet="1" objects="1" scenarios="1" formatColumns="0" formatRows="0" autoFilter="0"/>
  <mergeCells count="10">
    <mergeCell ref="A48:B48"/>
    <mergeCell ref="A49:B49"/>
    <mergeCell ref="A43:B43"/>
    <mergeCell ref="A47:B47"/>
    <mergeCell ref="A4:B4"/>
    <mergeCell ref="A1:B1"/>
    <mergeCell ref="A2:B2"/>
    <mergeCell ref="A46:B46"/>
    <mergeCell ref="A44:B44"/>
    <mergeCell ref="A45:B45"/>
  </mergeCells>
  <printOptions horizontalCentered="1"/>
  <pageMargins left="0.25" right="0.25" top="0.57395833333333302" bottom="0.61354166666666698" header="0.3" footer="0.3"/>
  <pageSetup scale="73" fitToHeight="0" orientation="portrait" r:id="rId1"/>
  <headerFooter>
    <oddHeader>&amp;C&amp;"Arial,Regular"Engine Power Generation RAP Application</oddHeader>
    <oddFooter>&amp;L&amp;"Arial,Regular"Version: 1.0&amp;C&amp;"Arial,Regular"Sheet: &amp;A&amp;R&amp;"Arial,Regular"Page &amp;P</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B6F57-CB57-44F5-921F-C82F0B782AC9}">
  <sheetPr codeName="Sheet17">
    <tabColor rgb="FFDCDCFF"/>
  </sheetPr>
  <dimension ref="A1:J60"/>
  <sheetViews>
    <sheetView showGridLines="0" zoomScaleNormal="100" workbookViewId="0">
      <selection sqref="A1:E1"/>
    </sheetView>
  </sheetViews>
  <sheetFormatPr defaultColWidth="0" defaultRowHeight="14.25" zeroHeight="1" x14ac:dyDescent="0.2"/>
  <cols>
    <col min="1" max="1" width="30.625" customWidth="1"/>
    <col min="2" max="5" width="32.25" customWidth="1"/>
    <col min="6" max="6" width="2.625" customWidth="1"/>
    <col min="7" max="16384" width="9" hidden="1"/>
  </cols>
  <sheetData>
    <row r="1" spans="1:10" ht="18.75" customHeight="1" thickBot="1" x14ac:dyDescent="0.3">
      <c r="A1" s="1027" t="s">
        <v>973</v>
      </c>
      <c r="B1" s="1028"/>
      <c r="C1" s="1028"/>
      <c r="D1" s="1028"/>
      <c r="E1" s="1029"/>
      <c r="G1" t="s">
        <v>974</v>
      </c>
      <c r="H1" t="s">
        <v>974</v>
      </c>
      <c r="I1" t="s">
        <v>974</v>
      </c>
      <c r="J1" t="s">
        <v>975</v>
      </c>
    </row>
    <row r="2" spans="1:10" ht="20.25" customHeight="1" thickBot="1" x14ac:dyDescent="0.25">
      <c r="A2" s="1030" t="s">
        <v>976</v>
      </c>
      <c r="B2" s="874"/>
      <c r="C2" s="874"/>
      <c r="D2" s="874"/>
      <c r="E2" s="848"/>
    </row>
    <row r="3" spans="1:10" ht="15" thickBot="1" x14ac:dyDescent="0.25"/>
    <row r="4" spans="1:10" ht="15" x14ac:dyDescent="0.2">
      <c r="A4" s="754" t="s">
        <v>977</v>
      </c>
      <c r="B4" s="756"/>
    </row>
    <row r="5" spans="1:10" ht="15" x14ac:dyDescent="0.2">
      <c r="A5" s="244" t="s">
        <v>72</v>
      </c>
      <c r="B5" s="239" t="s">
        <v>73</v>
      </c>
    </row>
    <row r="6" spans="1:10" x14ac:dyDescent="0.2">
      <c r="A6" s="261" t="s">
        <v>978</v>
      </c>
      <c r="B6" s="608" t="str">
        <f t="shared" ref="B6:B14" si="0">IF($G6=0,"",$G6)</f>
        <v/>
      </c>
      <c r="G6">
        <f>'PI-1-PowerEngine'!$B$7</f>
        <v>0</v>
      </c>
    </row>
    <row r="7" spans="1:10" x14ac:dyDescent="0.2">
      <c r="A7" s="234" t="s">
        <v>979</v>
      </c>
      <c r="B7" s="469" t="str">
        <f t="shared" si="0"/>
        <v/>
      </c>
      <c r="G7">
        <f>'PI-1-PowerEngine'!$B$52</f>
        <v>0</v>
      </c>
    </row>
    <row r="8" spans="1:10" x14ac:dyDescent="0.2">
      <c r="A8" s="234" t="s">
        <v>765</v>
      </c>
      <c r="B8" s="469" t="str">
        <f t="shared" si="0"/>
        <v/>
      </c>
      <c r="G8">
        <f>'PI-1-PowerEngine'!$B$50</f>
        <v>0</v>
      </c>
    </row>
    <row r="9" spans="1:10" x14ac:dyDescent="0.2">
      <c r="A9" s="234" t="s">
        <v>980</v>
      </c>
      <c r="B9" s="469" t="s">
        <v>1069</v>
      </c>
      <c r="G9" t="str">
        <f>'PI-1-PowerEngine'!$B$77</f>
        <v>Yes</v>
      </c>
    </row>
    <row r="10" spans="1:10" x14ac:dyDescent="0.2">
      <c r="A10" s="234" t="s">
        <v>981</v>
      </c>
      <c r="B10" s="469" t="str">
        <f t="shared" si="0"/>
        <v/>
      </c>
      <c r="G10">
        <f>'PI-1-PowerEngine'!$B$57</f>
        <v>0</v>
      </c>
    </row>
    <row r="11" spans="1:10" x14ac:dyDescent="0.2">
      <c r="A11" s="234" t="s">
        <v>982</v>
      </c>
      <c r="B11" s="469" t="s">
        <v>1068</v>
      </c>
      <c r="G11" t="s">
        <v>1078</v>
      </c>
    </row>
    <row r="12" spans="1:10" x14ac:dyDescent="0.2">
      <c r="A12" s="234" t="s">
        <v>983</v>
      </c>
      <c r="B12" s="469" t="str">
        <f t="shared" si="0"/>
        <v/>
      </c>
      <c r="G12" s="453">
        <f>'PI-1-PowerEngine'!$B$43</f>
        <v>0</v>
      </c>
    </row>
    <row r="13" spans="1:10" x14ac:dyDescent="0.2">
      <c r="A13" s="234" t="s">
        <v>984</v>
      </c>
      <c r="B13" s="469" t="str">
        <f t="shared" si="0"/>
        <v/>
      </c>
      <c r="G13" s="453">
        <f>'PI-1-PowerEngine'!$B$42</f>
        <v>0</v>
      </c>
    </row>
    <row r="14" spans="1:10" x14ac:dyDescent="0.2">
      <c r="A14" s="262" t="s">
        <v>985</v>
      </c>
      <c r="B14" s="263" t="str">
        <f t="shared" si="0"/>
        <v/>
      </c>
      <c r="G14">
        <f>'PI-1-PowerEngine'!$B$56</f>
        <v>0</v>
      </c>
    </row>
    <row r="15" spans="1:10" ht="15" thickBot="1" x14ac:dyDescent="0.25"/>
    <row r="16" spans="1:10" ht="15.75" thickBot="1" x14ac:dyDescent="0.25">
      <c r="A16" s="995" t="s">
        <v>986</v>
      </c>
      <c r="B16" s="996"/>
      <c r="C16" s="996"/>
      <c r="D16" s="996"/>
      <c r="E16" s="997"/>
    </row>
    <row r="17" spans="1:7" ht="80.25" customHeight="1" x14ac:dyDescent="0.2">
      <c r="A17" s="762" t="str">
        <f>IF($G17=0,"",$G17)</f>
        <v/>
      </c>
      <c r="B17" s="853"/>
      <c r="C17" s="853"/>
      <c r="D17" s="853"/>
      <c r="E17" s="857"/>
      <c r="G17">
        <f>'PI-1-PowerEngine'!$B$80</f>
        <v>0</v>
      </c>
    </row>
    <row r="18" spans="1:7" ht="15" thickBot="1" x14ac:dyDescent="0.25"/>
    <row r="19" spans="1:7" ht="15" x14ac:dyDescent="0.2">
      <c r="A19" s="1031" t="s">
        <v>987</v>
      </c>
      <c r="B19" s="1032"/>
      <c r="C19" s="1032"/>
      <c r="D19" s="1032"/>
      <c r="E19" s="1033"/>
    </row>
    <row r="20" spans="1:7" ht="45" x14ac:dyDescent="0.2">
      <c r="A20" s="244" t="s">
        <v>988</v>
      </c>
      <c r="B20" s="63" t="s">
        <v>989</v>
      </c>
      <c r="C20" s="63" t="s">
        <v>990</v>
      </c>
      <c r="D20" s="63" t="s">
        <v>991</v>
      </c>
      <c r="E20" s="239" t="s">
        <v>992</v>
      </c>
    </row>
    <row r="21" spans="1:7" ht="15" customHeight="1" x14ac:dyDescent="0.35">
      <c r="A21" s="474" t="s">
        <v>850</v>
      </c>
      <c r="B21" s="279">
        <v>0</v>
      </c>
      <c r="C21" s="279">
        <f>'ENGINE Summary'!C60</f>
        <v>0</v>
      </c>
      <c r="D21" s="279">
        <f>PS_Emissions_Summary[[#This Row],[Project Allowable Emission Rates (tpy)]]-PS_Emissions_Summary[[#This Row],[Current Allowable Emission Rates (tpy)]]</f>
        <v>0</v>
      </c>
      <c r="E21" s="644">
        <f>IF(OR(PS_Emissions_Summary[[#This Row],[Project Allowable Emission Rates (tpy)]]=0,PS_Emissions_Summary[[#This Row],[Project Allowable Emission Rates (tpy)]]-INDEX(Baseline!$B$19:$K$19,MATCH(PS_Emissions_Summary[[#This Row],[Air Contaminant]],Baseline!$B$23:$K$23,0))&lt;0),0,PS_Emissions_Summary[[#This Row],[Project Allowable Emission Rates (tpy)]]-INDEX(Baseline!$B$19:$K$19,MATCH(PS_Emissions_Summary[[#This Row],[Air Contaminant]],Baseline!$B$23:$K$23,0)))</f>
        <v>0</v>
      </c>
    </row>
    <row r="22" spans="1:7" ht="15" customHeight="1" x14ac:dyDescent="0.2">
      <c r="A22" s="474" t="s">
        <v>247</v>
      </c>
      <c r="B22" s="279">
        <v>0</v>
      </c>
      <c r="C22" s="279">
        <f>'ENGINE Summary'!D60</f>
        <v>0</v>
      </c>
      <c r="D22" s="279">
        <f>PS_Emissions_Summary[[#This Row],[Project Allowable Emission Rates (tpy)]]-PS_Emissions_Summary[[#This Row],[Current Allowable Emission Rates (tpy)]]</f>
        <v>0</v>
      </c>
      <c r="E22" s="644">
        <f>IF(OR(PS_Emissions_Summary[[#This Row],[Project Allowable Emission Rates (tpy)]]=0,PS_Emissions_Summary[[#This Row],[Project Allowable Emission Rates (tpy)]]-INDEX(Baseline!$B$19:$K$19,MATCH(PS_Emissions_Summary[[#This Row],[Air Contaminant]],Baseline!$B$23:$K$23,0))&lt;0),0,PS_Emissions_Summary[[#This Row],[Project Allowable Emission Rates (tpy)]]-INDEX(Baseline!$B$19:$K$19,MATCH(PS_Emissions_Summary[[#This Row],[Air Contaminant]],Baseline!$B$23:$K$23,0)))</f>
        <v>0</v>
      </c>
    </row>
    <row r="23" spans="1:7" ht="15" customHeight="1" x14ac:dyDescent="0.35">
      <c r="A23" s="474" t="s">
        <v>837</v>
      </c>
      <c r="B23" s="279">
        <v>0</v>
      </c>
      <c r="C23" s="279">
        <f>'ENGINE Summary'!I60</f>
        <v>0</v>
      </c>
      <c r="D23" s="279">
        <f>PS_Emissions_Summary[[#This Row],[Project Allowable Emission Rates (tpy)]]-PS_Emissions_Summary[[#This Row],[Current Allowable Emission Rates (tpy)]]</f>
        <v>0</v>
      </c>
      <c r="E23" s="644">
        <f>IF(OR(PS_Emissions_Summary[[#This Row],[Project Allowable Emission Rates (tpy)]]=0,PS_Emissions_Summary[[#This Row],[Project Allowable Emission Rates (tpy)]]-INDEX(Baseline!$B$19:$K$19,MATCH(PS_Emissions_Summary[[#This Row],[Air Contaminant]],Baseline!$B$23:$K$23,0))&lt;0),0,PS_Emissions_Summary[[#This Row],[Project Allowable Emission Rates (tpy)]]-INDEX(Baseline!$B$19:$K$19,MATCH(PS_Emissions_Summary[[#This Row],[Air Contaminant]],Baseline!$B$23:$K$23,0)))</f>
        <v>0</v>
      </c>
    </row>
    <row r="24" spans="1:7" ht="15" customHeight="1" x14ac:dyDescent="0.2">
      <c r="A24" s="474" t="s">
        <v>248</v>
      </c>
      <c r="B24" s="279">
        <v>0</v>
      </c>
      <c r="C24" s="279">
        <f>'ENGINE Summary'!E60</f>
        <v>0</v>
      </c>
      <c r="D24" s="279">
        <f>PS_Emissions_Summary[[#This Row],[Project Allowable Emission Rates (tpy)]]-PS_Emissions_Summary[[#This Row],[Current Allowable Emission Rates (tpy)]]</f>
        <v>0</v>
      </c>
      <c r="E24" s="644">
        <f>IF(OR(PS_Emissions_Summary[[#This Row],[Project Allowable Emission Rates (tpy)]]=0,PS_Emissions_Summary[[#This Row],[Project Allowable Emission Rates (tpy)]]-INDEX(Baseline!$B$19:$K$19,MATCH(PS_Emissions_Summary[[#This Row],[Air Contaminant]],Baseline!$B$23:$K$23,0))&lt;0),0,PS_Emissions_Summary[[#This Row],[Project Allowable Emission Rates (tpy)]]-INDEX(Baseline!$B$19:$K$19,MATCH(PS_Emissions_Summary[[#This Row],[Air Contaminant]],Baseline!$B$23:$K$23,0)))</f>
        <v>0</v>
      </c>
    </row>
    <row r="25" spans="1:7" ht="15" customHeight="1" x14ac:dyDescent="0.35">
      <c r="A25" s="474" t="s">
        <v>835</v>
      </c>
      <c r="B25" s="279">
        <v>0</v>
      </c>
      <c r="C25" s="279">
        <f>'ENGINE Summary'!F60</f>
        <v>0</v>
      </c>
      <c r="D25" s="279">
        <f>PS_Emissions_Summary[[#This Row],[Project Allowable Emission Rates (tpy)]]-PS_Emissions_Summary[[#This Row],[Current Allowable Emission Rates (tpy)]]</f>
        <v>0</v>
      </c>
      <c r="E25" s="644">
        <f>IF(OR(PS_Emissions_Summary[[#This Row],[Project Allowable Emission Rates (tpy)]]=0,PS_Emissions_Summary[[#This Row],[Project Allowable Emission Rates (tpy)]]-INDEX(Baseline!$B$19:$K$19,MATCH(PS_Emissions_Summary[[#This Row],[Air Contaminant]],Baseline!$B$23:$K$23,0))&lt;0),0,PS_Emissions_Summary[[#This Row],[Project Allowable Emission Rates (tpy)]]-INDEX(Baseline!$B$19:$K$19,MATCH(PS_Emissions_Summary[[#This Row],[Air Contaminant]],Baseline!$B$23:$K$23,0)))</f>
        <v>0</v>
      </c>
    </row>
    <row r="26" spans="1:7" ht="15" customHeight="1" x14ac:dyDescent="0.35">
      <c r="A26" s="474" t="s">
        <v>851</v>
      </c>
      <c r="B26" s="279">
        <v>0</v>
      </c>
      <c r="C26" s="279">
        <f>'ENGINE Summary'!G60</f>
        <v>0</v>
      </c>
      <c r="D26" s="279">
        <f>PS_Emissions_Summary[[#This Row],[Project Allowable Emission Rates (tpy)]]-PS_Emissions_Summary[[#This Row],[Current Allowable Emission Rates (tpy)]]</f>
        <v>0</v>
      </c>
      <c r="E26" s="644">
        <f>IF(OR(PS_Emissions_Summary[[#This Row],[Project Allowable Emission Rates (tpy)]]=0,PS_Emissions_Summary[[#This Row],[Project Allowable Emission Rates (tpy)]]-INDEX(Baseline!$B$19:$K$19,MATCH(PS_Emissions_Summary[[#This Row],[Air Contaminant]],Baseline!$B$23:$K$23,0))&lt;0),0,PS_Emissions_Summary[[#This Row],[Project Allowable Emission Rates (tpy)]]-INDEX(Baseline!$B$19:$K$19,MATCH(PS_Emissions_Summary[[#This Row],[Air Contaminant]],Baseline!$B$23:$K$23,0)))</f>
        <v>0</v>
      </c>
    </row>
    <row r="27" spans="1:7" ht="15" customHeight="1" x14ac:dyDescent="0.2">
      <c r="A27" s="474" t="s">
        <v>251</v>
      </c>
      <c r="B27" s="279">
        <v>0</v>
      </c>
      <c r="C27" s="279">
        <f>'ENGINE Summary'!H60+Tanks!B15</f>
        <v>0</v>
      </c>
      <c r="D27" s="279">
        <f>PS_Emissions_Summary[[#This Row],[Project Allowable Emission Rates (tpy)]]-PS_Emissions_Summary[[#This Row],[Current Allowable Emission Rates (tpy)]]</f>
        <v>0</v>
      </c>
      <c r="E27" s="644">
        <f>IF(OR(PS_Emissions_Summary[[#This Row],[Project Allowable Emission Rates (tpy)]]=0,PS_Emissions_Summary[[#This Row],[Project Allowable Emission Rates (tpy)]]-INDEX(Baseline!$B$19:$K$19,MATCH(PS_Emissions_Summary[[#This Row],[Air Contaminant]],Baseline!$B$23:$K$23,0))&lt;0),0,PS_Emissions_Summary[[#This Row],[Project Allowable Emission Rates (tpy)]]-INDEX(Baseline!$B$19:$K$19,MATCH(PS_Emissions_Summary[[#This Row],[Air Contaminant]],Baseline!$B$23:$K$23,0)))</f>
        <v>0</v>
      </c>
    </row>
    <row r="28" spans="1:7" ht="15" customHeight="1" x14ac:dyDescent="0.35">
      <c r="A28" s="474" t="s">
        <v>852</v>
      </c>
      <c r="B28" s="279">
        <v>0</v>
      </c>
      <c r="C28" s="279">
        <f>'ENGINE Summary'!J60</f>
        <v>0</v>
      </c>
      <c r="D28" s="279">
        <f>PS_Emissions_Summary[[#This Row],[Project Allowable Emission Rates (tpy)]]-PS_Emissions_Summary[[#This Row],[Current Allowable Emission Rates (tpy)]]</f>
        <v>0</v>
      </c>
      <c r="E28" s="644">
        <f>IF(OR(PS_Emissions_Summary[[#This Row],[Project Allowable Emission Rates (tpy)]]=0,PS_Emissions_Summary[[#This Row],[Project Allowable Emission Rates (tpy)]]-INDEX(Baseline!$B$19:$K$19,MATCH(PS_Emissions_Summary[[#This Row],[Air Contaminant]],Baseline!$B$23:$K$23,0))&lt;0),0,PS_Emissions_Summary[[#This Row],[Project Allowable Emission Rates (tpy)]]-INDEX(Baseline!$B$19:$K$19,MATCH(PS_Emissions_Summary[[#This Row],[Air Contaminant]],Baseline!$B$23:$K$23,0)))</f>
        <v>0</v>
      </c>
    </row>
    <row r="29" spans="1:7" ht="15" customHeight="1" x14ac:dyDescent="0.35">
      <c r="A29" s="470" t="s">
        <v>993</v>
      </c>
      <c r="B29" s="279">
        <v>0</v>
      </c>
      <c r="C29" s="291">
        <f>'ENGINE Summary'!K60</f>
        <v>0</v>
      </c>
      <c r="D29" s="291">
        <f>PS_Emissions_Summary[[#This Row],[Project Allowable Emission Rates (tpy)]]-PS_Emissions_Summary[[#This Row],[Current Allowable Emission Rates (tpy)]]</f>
        <v>0</v>
      </c>
      <c r="E29" s="645">
        <f>IF(OR(PS_Emissions_Summary[[#This Row],[Project Allowable Emission Rates (tpy)]]=0,PS_Emissions_Summary[[#This Row],[Project Allowable Emission Rates (tpy)]]-INDEX(Baseline!$B$19:$K$19,MATCH(PS_Emissions_Summary[[#This Row],[Air Contaminant]],Baseline!$B$23:$K$23,0))&lt;0),0,PS_Emissions_Summary[[#This Row],[Project Allowable Emission Rates (tpy)]]-INDEX(Baseline!$B$19:$K$19,MATCH(PS_Emissions_Summary[[#This Row],[Air Contaminant]],Baseline!$B$23:$K$23,0)))</f>
        <v>0</v>
      </c>
    </row>
    <row r="30" spans="1:7" ht="15" thickBot="1" x14ac:dyDescent="0.25"/>
    <row r="31" spans="1:7" ht="15" x14ac:dyDescent="0.2">
      <c r="A31" s="995" t="s">
        <v>994</v>
      </c>
      <c r="B31" s="996"/>
      <c r="C31" s="996"/>
      <c r="D31" s="996"/>
      <c r="E31" s="997"/>
    </row>
    <row r="32" spans="1:7" ht="75" customHeight="1" x14ac:dyDescent="0.2">
      <c r="A32" s="762" t="s">
        <v>1070</v>
      </c>
      <c r="B32" s="853"/>
      <c r="C32" s="853"/>
      <c r="D32" s="853"/>
      <c r="E32" s="857"/>
      <c r="G32" t="str">
        <f>'Public Notice'!$D$9</f>
        <v>Yes</v>
      </c>
    </row>
    <row r="33" spans="1:10" x14ac:dyDescent="0.2"/>
    <row r="34" spans="1:10" ht="15.75" thickBot="1" x14ac:dyDescent="0.25">
      <c r="A34" s="1034" t="s">
        <v>995</v>
      </c>
      <c r="B34" s="1035"/>
    </row>
    <row r="35" spans="1:10" ht="15" x14ac:dyDescent="0.2">
      <c r="A35" s="244" t="s">
        <v>996</v>
      </c>
      <c r="B35" s="239" t="s">
        <v>997</v>
      </c>
    </row>
    <row r="36" spans="1:10" ht="45" customHeight="1" x14ac:dyDescent="0.2">
      <c r="A36" s="234" t="s">
        <v>998</v>
      </c>
      <c r="B36" s="469" t="str">
        <f>IF($G36="","",$G36)</f>
        <v/>
      </c>
      <c r="G36" t="str">
        <f>Reference!$AV$24</f>
        <v/>
      </c>
    </row>
    <row r="37" spans="1:10" ht="45" customHeight="1" x14ac:dyDescent="0.2">
      <c r="A37" s="262" t="s">
        <v>999</v>
      </c>
      <c r="B37" s="263" t="str">
        <f>IF($G37="","",$G37)</f>
        <v/>
      </c>
      <c r="G37" t="str">
        <f>Reference!$AZ$24</f>
        <v/>
      </c>
    </row>
    <row r="38" spans="1:10" x14ac:dyDescent="0.2"/>
    <row r="39" spans="1:10" ht="15" x14ac:dyDescent="0.2">
      <c r="A39" s="1017" t="s">
        <v>1000</v>
      </c>
      <c r="B39" s="1018"/>
      <c r="C39" s="1019"/>
    </row>
    <row r="40" spans="1:10" ht="60" customHeight="1" x14ac:dyDescent="0.2">
      <c r="A40" s="531" t="s">
        <v>1001</v>
      </c>
      <c r="B40" s="538" t="s">
        <v>1002</v>
      </c>
      <c r="C40" s="532" t="str">
        <f>IF(COUNTIF(G40,"*unknown*")=1,"PSD not evaluated due to triggering of nonattainment. This project does not qualify for this RAP.",H40)</f>
        <v>The project emissions increase for each evaluated pollutant and/or precursor is below the threshold. PSD review is not required.</v>
      </c>
      <c r="G40" t="str">
        <f>IF('Federal Applicability'!H33,"unknown",IF('Federal Applicability'!G62,'Federal Applicability'!A61,'Federal Applicability'!A72))</f>
        <v>Step 3 Determination: The project emissions increase for each evaluated pollutant and/or precursor is below the threshold. PSD review is not required.</v>
      </c>
      <c r="H40" t="str">
        <f>RIGHT(G40,LEN(G40)-22)</f>
        <v>The project emissions increase for each evaluated pollutant and/or precursor is below the threshold. PSD review is not required.</v>
      </c>
      <c r="J40" t="b">
        <f>OR(COUNTIF(G40,"*does not qualify*"),COUNTIF(G40,"*unknown*"))</f>
        <v>0</v>
      </c>
    </row>
    <row r="41" spans="1:10" ht="90" customHeight="1" x14ac:dyDescent="0.2">
      <c r="A41" s="534"/>
      <c r="B41" s="99" t="s">
        <v>1003</v>
      </c>
      <c r="C41" s="533" t="str">
        <f>IF(G8=0,"",I41)</f>
        <v/>
      </c>
      <c r="G41" t="str">
        <f>'Federal Applicability'!$A$33</f>
        <v>Step 3 Determination: The project emissions increase for each evaluated pollutant and/or precursor is below the threshold. Nonattainment NSR is not required. Continue to the next section.</v>
      </c>
      <c r="H41" t="str">
        <f>RIGHT(G41,LEN(G41)-22)</f>
        <v>The project emissions increase for each evaluated pollutant and/or precursor is below the threshold. Nonattainment NSR is not required. Continue to the next section.</v>
      </c>
      <c r="I41" t="str">
        <f>IF(COUNTIF(H41,"*continue*"),LEFT(H41,LEN(H41)-30),H41)</f>
        <v>The project emissions increase for each evaluated pollutant and/or precursor is below the threshold. Nonattainment NSR is not required.</v>
      </c>
      <c r="J41">
        <f>COUNTIF(G41,"*does not qualify*")</f>
        <v>0</v>
      </c>
    </row>
    <row r="42" spans="1:10" x14ac:dyDescent="0.2">
      <c r="A42" s="534" t="s">
        <v>1004</v>
      </c>
      <c r="B42" s="99" t="s">
        <v>1005</v>
      </c>
      <c r="C42" s="622" t="str">
        <f>IF(G42=0,"",G42)</f>
        <v/>
      </c>
      <c r="G42">
        <f>Fees!$B$36</f>
        <v>0</v>
      </c>
    </row>
    <row r="43" spans="1:10" ht="30" customHeight="1" x14ac:dyDescent="0.2">
      <c r="A43" s="535" t="s">
        <v>1006</v>
      </c>
      <c r="B43" s="536" t="s">
        <v>1007</v>
      </c>
      <c r="C43" s="537" t="str">
        <f t="shared" ref="C43" si="1">IF($G43=0,"",$G43)</f>
        <v/>
      </c>
      <c r="G43">
        <f>'PI-1-PowerEngine'!$B$58</f>
        <v>0</v>
      </c>
    </row>
    <row r="44" spans="1:10" x14ac:dyDescent="0.2"/>
    <row r="45" spans="1:10" ht="15.75" thickBot="1" x14ac:dyDescent="0.25">
      <c r="A45" s="995" t="s">
        <v>1008</v>
      </c>
      <c r="B45" s="996"/>
      <c r="C45" s="996"/>
      <c r="D45" s="996"/>
      <c r="E45" s="997"/>
    </row>
    <row r="46" spans="1:10" ht="45" customHeight="1" thickBot="1" x14ac:dyDescent="0.25">
      <c r="A46" s="762" t="str">
        <f t="shared" ref="A46" si="2">IF($G$9=0,"",IF($G$9="NO","This table lists the maximum allowable emission rates and sources of air contaminants included in this project. The emission rates shown are those derived from information submitted as part of a RAP application.","This table lists the maximum allowable emission rates and all sources of air contaminants on the applicant’s property covered by this permit. "&amp;"The emission rates shown are those derived from information submitted as part of the application for permit and are the maximum rates allowed for these facilities, sources, and related activities. "&amp;"Any proposed increase in emission rates may require an application for a modification of the facilities covered by this permit."))</f>
        <v>This table lists the maximum allowable emission rates and all sources of air contaminants on the applicant’s property covered by this permit. The emission rates shown are those derived from information submitted as part of the application for permit and are the maximum rates allowed for these facilities, sources, and related activities. Any proposed increase in emission rates may require an application for a modification of the facilities covered by this permit.</v>
      </c>
      <c r="B46" s="853"/>
      <c r="C46" s="853"/>
      <c r="D46" s="853"/>
      <c r="E46" s="857"/>
    </row>
    <row r="47" spans="1:10" ht="15" x14ac:dyDescent="0.2">
      <c r="A47" s="244" t="s">
        <v>285</v>
      </c>
      <c r="B47" s="63" t="s">
        <v>217</v>
      </c>
      <c r="C47" s="63" t="s">
        <v>988</v>
      </c>
      <c r="D47" s="63" t="s">
        <v>1009</v>
      </c>
      <c r="E47" s="239" t="s">
        <v>1010</v>
      </c>
    </row>
    <row r="48" spans="1:10" ht="18" customHeight="1" x14ac:dyDescent="0.2">
      <c r="A48" s="262">
        <f>'ENGINE Summary'!B6</f>
        <v>0</v>
      </c>
      <c r="B48" s="252">
        <f>IF('ENGINE Summary'!B11=1,ENGINE1!B7,'ENGINE Summary'!B7)</f>
        <v>0</v>
      </c>
      <c r="C48" s="99" t="s">
        <v>850</v>
      </c>
      <c r="D48" s="571">
        <f>INDEX('ENGINE Summary'!$C$42:$K$42,MATCH(MAERT[[#This Row],[Air Contaminant]],EngSum_ST[[#Headers],[NOx]:[NH3]],0))</f>
        <v>0</v>
      </c>
      <c r="E48" s="572">
        <f>INDEX('ENGINE Summary'!$C$60:$K$60,MATCH(MAERT[[#This Row],[Air Contaminant]],EngSum_ST[[#Headers],[NOx]:[NH3]],0))</f>
        <v>0</v>
      </c>
    </row>
    <row r="49" spans="1:5" ht="18" customHeight="1" x14ac:dyDescent="0.2">
      <c r="A49" s="504"/>
      <c r="B49" s="505"/>
      <c r="C49" s="99" t="s">
        <v>247</v>
      </c>
      <c r="D49" s="571">
        <f>INDEX('ENGINE Summary'!$C$42:$K$42,MATCH(MAERT[[#This Row],[Air Contaminant]],EngSum_ST[[#Headers],[NOx]:[NH3]],0))</f>
        <v>0</v>
      </c>
      <c r="E49" s="572">
        <f>INDEX('ENGINE Summary'!$C$60:$K$60,MATCH(MAERT[[#This Row],[Air Contaminant]],EngSum_ST[[#Headers],[NOx]:[NH3]],0))</f>
        <v>0</v>
      </c>
    </row>
    <row r="50" spans="1:5" ht="18" customHeight="1" x14ac:dyDescent="0.2">
      <c r="A50" s="504"/>
      <c r="B50" s="505"/>
      <c r="C50" s="99" t="s">
        <v>248</v>
      </c>
      <c r="D50" s="571">
        <f>INDEX('ENGINE Summary'!$C$42:$K$42,MATCH(MAERT[[#This Row],[Air Contaminant]],EngSum_ST[[#Headers],[NOx]:[NH3]],0))</f>
        <v>0</v>
      </c>
      <c r="E50" s="572">
        <f>INDEX('ENGINE Summary'!$C$60:$K$60,MATCH(MAERT[[#This Row],[Air Contaminant]],EngSum_ST[[#Headers],[NOx]:[NH3]],0))</f>
        <v>0</v>
      </c>
    </row>
    <row r="51" spans="1:5" ht="18" customHeight="1" x14ac:dyDescent="0.2">
      <c r="A51" s="504"/>
      <c r="B51" s="505"/>
      <c r="C51" s="99" t="s">
        <v>835</v>
      </c>
      <c r="D51" s="571">
        <f>INDEX('ENGINE Summary'!$C$42:$K$42,MATCH(MAERT[[#This Row],[Air Contaminant]],EngSum_ST[[#Headers],[NOx]:[NH3]],0))</f>
        <v>0</v>
      </c>
      <c r="E51" s="572">
        <f>INDEX('ENGINE Summary'!$C$60:$K$60,MATCH(MAERT[[#This Row],[Air Contaminant]],EngSum_ST[[#Headers],[NOx]:[NH3]],0))</f>
        <v>0</v>
      </c>
    </row>
    <row r="52" spans="1:5" ht="18" customHeight="1" x14ac:dyDescent="0.2">
      <c r="A52" s="504"/>
      <c r="B52" s="505"/>
      <c r="C52" s="99" t="s">
        <v>851</v>
      </c>
      <c r="D52" s="571">
        <f>INDEX('ENGINE Summary'!$C$42:$K$42,MATCH(MAERT[[#This Row],[Air Contaminant]],EngSum_ST[[#Headers],[NOx]:[NH3]],0))</f>
        <v>0</v>
      </c>
      <c r="E52" s="572">
        <f>INDEX('ENGINE Summary'!$C$60:$K$60,MATCH(MAERT[[#This Row],[Air Contaminant]],EngSum_ST[[#Headers],[NOx]:[NH3]],0))</f>
        <v>0</v>
      </c>
    </row>
    <row r="53" spans="1:5" ht="18" customHeight="1" x14ac:dyDescent="0.2">
      <c r="A53" s="504"/>
      <c r="B53" s="505"/>
      <c r="C53" s="99" t="s">
        <v>251</v>
      </c>
      <c r="D53" s="571">
        <f>INDEX('ENGINE Summary'!$C$42:$K$42,MATCH(MAERT[[#This Row],[Air Contaminant]],EngSum_ST[[#Headers],[NOx]:[NH3]],0))</f>
        <v>0</v>
      </c>
      <c r="E53" s="572">
        <f>INDEX('ENGINE Summary'!$C$60:$K$60,MATCH(MAERT[[#This Row],[Air Contaminant]],EngSum_ST[[#Headers],[NOx]:[NH3]],0))</f>
        <v>0</v>
      </c>
    </row>
    <row r="54" spans="1:5" ht="18" customHeight="1" x14ac:dyDescent="0.2">
      <c r="A54" s="504"/>
      <c r="B54" s="505"/>
      <c r="C54" s="99" t="s">
        <v>837</v>
      </c>
      <c r="D54" s="571">
        <f>INDEX('ENGINE Summary'!$C$42:$K$42,MATCH(MAERT[[#This Row],[Air Contaminant]],EngSum_ST[[#Headers],[NOx]:[NH3]],0))</f>
        <v>0</v>
      </c>
      <c r="E54" s="572">
        <f>INDEX('ENGINE Summary'!$C$60:$K$60,MATCH(MAERT[[#This Row],[Air Contaminant]],EngSum_ST[[#Headers],[NOx]:[NH3]],0))</f>
        <v>0</v>
      </c>
    </row>
    <row r="55" spans="1:5" ht="18" customHeight="1" x14ac:dyDescent="0.2">
      <c r="A55" s="504"/>
      <c r="B55" s="505"/>
      <c r="C55" s="99" t="s">
        <v>852</v>
      </c>
      <c r="D55" s="571">
        <f>INDEX('ENGINE Summary'!$C$42:$K$42,MATCH(MAERT[[#This Row],[Air Contaminant]],EngSum_ST[[#Headers],[NOx]:[NH3]],0))</f>
        <v>0</v>
      </c>
      <c r="E55" s="572">
        <f>INDEX('ENGINE Summary'!$C$60:$K$60,MATCH(MAERT[[#This Row],[Air Contaminant]],EngSum_ST[[#Headers],[NOx]:[NH3]],0))</f>
        <v>0</v>
      </c>
    </row>
    <row r="56" spans="1:5" ht="18" customHeight="1" x14ac:dyDescent="0.2">
      <c r="A56" s="261"/>
      <c r="B56" s="288"/>
      <c r="C56" s="99" t="s">
        <v>993</v>
      </c>
      <c r="D56" s="571">
        <f>INDEX('ENGINE Summary'!$C$42:$K$42,MATCH(MAERT[[#This Row],[Air Contaminant]],EngSum_ST[[#Headers],[NOx]:[NH3]],0))</f>
        <v>0</v>
      </c>
      <c r="E56" s="572">
        <f>INDEX('ENGINE Summary'!$C$60:$K$60,MATCH(MAERT[[#This Row],[Air Contaminant]],EngSum_ST[[#Headers],[NOx]:[NH3]],0))</f>
        <v>0</v>
      </c>
    </row>
    <row r="57" spans="1:5" ht="15" customHeight="1" x14ac:dyDescent="0.2">
      <c r="A57" s="262">
        <f>Tanks!B6</f>
        <v>0</v>
      </c>
      <c r="B57" s="252">
        <f>IF(Tanks!B11=1,Tanks!B22,Tanks!B7)</f>
        <v>0</v>
      </c>
      <c r="C57" s="252" t="s">
        <v>251</v>
      </c>
      <c r="D57" s="573">
        <f>Tanks!B14</f>
        <v>0</v>
      </c>
      <c r="E57" s="574">
        <f>Tanks!B15</f>
        <v>0</v>
      </c>
    </row>
    <row r="58" spans="1:5" ht="8.25" customHeight="1" x14ac:dyDescent="0.2"/>
    <row r="59" spans="1:5" x14ac:dyDescent="0.2">
      <c r="A59" s="899" t="str">
        <f>HYPERLINK("#Sheet_Ins","End of workbook. Click here to move to the Instructions sheet.")</f>
        <v>End of workbook. Click here to move to the Instructions sheet.</v>
      </c>
      <c r="B59" s="858"/>
    </row>
    <row r="60" spans="1:5" ht="8.25" hidden="1" customHeight="1" x14ac:dyDescent="0.2"/>
  </sheetData>
  <sheetProtection algorithmName="SHA-512" hashValue="7h1l2rD7eYecUYm6gUGhhXzpwy+4q9DV107Tqfljs5Np71ijdcA7QzsgvfctP2DZPJA3cDj+I0duqy7/PX93Ug==" saltValue="U5oBo822sOBwCGTssEJAwg==" spinCount="100000" sheet="1" objects="1" scenarios="1" formatColumns="0" formatRows="0" autoFilter="0"/>
  <mergeCells count="13">
    <mergeCell ref="A59:B59"/>
    <mergeCell ref="A46:E46"/>
    <mergeCell ref="A1:E1"/>
    <mergeCell ref="A2:E2"/>
    <mergeCell ref="A4:B4"/>
    <mergeCell ref="A16:E16"/>
    <mergeCell ref="A17:E17"/>
    <mergeCell ref="A19:E19"/>
    <mergeCell ref="A31:E31"/>
    <mergeCell ref="A32:E32"/>
    <mergeCell ref="A34:B34"/>
    <mergeCell ref="A39:C39"/>
    <mergeCell ref="A45:E45"/>
  </mergeCells>
  <conditionalFormatting sqref="B40:C41">
    <cfRule type="expression" dxfId="10" priority="2">
      <formula>$J40</formula>
    </cfRule>
  </conditionalFormatting>
  <conditionalFormatting sqref="C42">
    <cfRule type="expression" dxfId="9" priority="1">
      <formula>$J42</formula>
    </cfRule>
  </conditionalFormatting>
  <pageMargins left="0.7" right="0.7" top="0.75" bottom="0.75" header="0.3" footer="0.3"/>
  <pageSetup orientation="portrait" r:id="rId1"/>
  <tableParts count="4">
    <tablePart r:id="rId2"/>
    <tablePart r:id="rId3"/>
    <tablePart r:id="rId4"/>
    <tablePart r:id="rId5"/>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DF12D-0707-485C-8CD3-E1D05B3485E7}">
  <sheetPr codeName="Sheet28">
    <tabColor theme="1"/>
  </sheetPr>
  <dimension ref="A1:AZ267"/>
  <sheetViews>
    <sheetView zoomScaleNormal="100" workbookViewId="0"/>
  </sheetViews>
  <sheetFormatPr defaultRowHeight="14.25" x14ac:dyDescent="0.2"/>
  <cols>
    <col min="1" max="1" width="13.625" customWidth="1"/>
    <col min="2" max="3" width="13" customWidth="1"/>
    <col min="4" max="4" width="11.5" customWidth="1"/>
    <col min="7" max="7" width="12.625" customWidth="1"/>
    <col min="8" max="25" width="9.25" customWidth="1"/>
    <col min="26" max="26" width="24.625" customWidth="1"/>
    <col min="42" max="42" width="18.875" customWidth="1"/>
    <col min="43" max="43" width="38.875" customWidth="1"/>
    <col min="44" max="52" width="10.375" customWidth="1"/>
  </cols>
  <sheetData>
    <row r="1" spans="1:52" ht="15" x14ac:dyDescent="0.25">
      <c r="A1" s="580" t="s">
        <v>1097</v>
      </c>
    </row>
    <row r="2" spans="1:52" ht="15" x14ac:dyDescent="0.25">
      <c r="A2" s="580" t="s">
        <v>1089</v>
      </c>
      <c r="B2" s="625">
        <v>45272</v>
      </c>
    </row>
    <row r="3" spans="1:52" ht="15" x14ac:dyDescent="0.25">
      <c r="A3" s="580" t="s">
        <v>331</v>
      </c>
      <c r="B3" s="625" t="s">
        <v>1104</v>
      </c>
    </row>
    <row r="4" spans="1:52" ht="15" x14ac:dyDescent="0.25">
      <c r="A4" s="580" t="s">
        <v>332</v>
      </c>
      <c r="B4" s="625" t="s">
        <v>1105</v>
      </c>
    </row>
    <row r="5" spans="1:52" ht="15" x14ac:dyDescent="0.25">
      <c r="A5" s="580"/>
      <c r="B5" s="625"/>
    </row>
    <row r="6" spans="1:52" ht="15" x14ac:dyDescent="0.25">
      <c r="A6" s="580" t="s">
        <v>1088</v>
      </c>
      <c r="B6" s="625" t="s">
        <v>1106</v>
      </c>
    </row>
    <row r="7" spans="1:52" x14ac:dyDescent="0.2">
      <c r="B7" s="625"/>
    </row>
    <row r="8" spans="1:52" ht="15" x14ac:dyDescent="0.25">
      <c r="A8" s="580" t="s">
        <v>333</v>
      </c>
      <c r="B8" s="625" t="s">
        <v>1045</v>
      </c>
    </row>
    <row r="9" spans="1:52" ht="15" x14ac:dyDescent="0.25">
      <c r="A9" s="580" t="s">
        <v>1079</v>
      </c>
      <c r="B9" s="690" t="s">
        <v>1080</v>
      </c>
      <c r="C9" t="s">
        <v>1081</v>
      </c>
      <c r="D9" s="691" t="s">
        <v>1082</v>
      </c>
      <c r="F9" s="691" t="s">
        <v>1083</v>
      </c>
      <c r="G9" t="s">
        <v>1085</v>
      </c>
    </row>
    <row r="10" spans="1:52" ht="15" x14ac:dyDescent="0.25">
      <c r="A10" s="580" t="s">
        <v>1086</v>
      </c>
      <c r="B10" s="625" t="s">
        <v>1087</v>
      </c>
      <c r="D10" s="691"/>
      <c r="F10" s="691"/>
    </row>
    <row r="11" spans="1:52" x14ac:dyDescent="0.2">
      <c r="D11" s="691"/>
      <c r="F11" s="691"/>
    </row>
    <row r="12" spans="1:52" ht="15" x14ac:dyDescent="0.25">
      <c r="A12" s="580" t="s">
        <v>1012</v>
      </c>
      <c r="B12" s="625" t="s">
        <v>1060</v>
      </c>
    </row>
    <row r="13" spans="1:52" ht="45" x14ac:dyDescent="0.25">
      <c r="A13" s="10" t="s">
        <v>334</v>
      </c>
      <c r="B13" s="11" t="s">
        <v>335</v>
      </c>
      <c r="C13" s="11" t="s">
        <v>336</v>
      </c>
      <c r="D13" s="11" t="s">
        <v>337</v>
      </c>
      <c r="E13" s="9" t="s">
        <v>338</v>
      </c>
      <c r="F13" s="9" t="s">
        <v>216</v>
      </c>
      <c r="G13" s="28" t="s">
        <v>217</v>
      </c>
      <c r="H13" s="9" t="s">
        <v>339</v>
      </c>
      <c r="I13" s="9" t="s">
        <v>340</v>
      </c>
      <c r="J13" s="9" t="s">
        <v>341</v>
      </c>
      <c r="K13" s="9" t="s">
        <v>342</v>
      </c>
      <c r="L13" s="9" t="s">
        <v>343</v>
      </c>
      <c r="M13" s="9" t="s">
        <v>344</v>
      </c>
      <c r="N13" s="9" t="s">
        <v>345</v>
      </c>
      <c r="O13" s="9" t="s">
        <v>346</v>
      </c>
      <c r="P13" s="9" t="s">
        <v>347</v>
      </c>
      <c r="Q13" s="9" t="s">
        <v>348</v>
      </c>
      <c r="R13" s="9" t="s">
        <v>349</v>
      </c>
      <c r="S13" s="9" t="s">
        <v>350</v>
      </c>
      <c r="T13" s="9" t="s">
        <v>351</v>
      </c>
      <c r="U13" s="9" t="s">
        <v>352</v>
      </c>
      <c r="V13" s="9" t="s">
        <v>353</v>
      </c>
      <c r="W13" s="9" t="s">
        <v>354</v>
      </c>
      <c r="X13" s="9" t="s">
        <v>355</v>
      </c>
      <c r="Y13" s="9" t="s">
        <v>356</v>
      </c>
      <c r="Z13" s="1036" t="s">
        <v>357</v>
      </c>
      <c r="AA13" s="1037"/>
      <c r="AB13" s="1037"/>
      <c r="AC13" s="1037"/>
      <c r="AD13" s="1037"/>
      <c r="AE13" s="1037"/>
      <c r="AF13" s="1037"/>
      <c r="AG13" s="1037"/>
      <c r="AH13" s="1037"/>
      <c r="AI13" s="1037"/>
      <c r="AJ13" s="1037"/>
      <c r="AK13" s="1037"/>
      <c r="AL13" s="1037"/>
      <c r="AM13" s="1037"/>
      <c r="AN13" s="1038"/>
      <c r="AO13" s="609"/>
      <c r="AP13" s="9" t="s">
        <v>358</v>
      </c>
      <c r="AQ13" t="s">
        <v>359</v>
      </c>
      <c r="AR13" s="459" t="s">
        <v>360</v>
      </c>
      <c r="AS13" s="460" t="s">
        <v>361</v>
      </c>
      <c r="AT13" s="460" t="s">
        <v>362</v>
      </c>
      <c r="AU13" s="460" t="s">
        <v>363</v>
      </c>
      <c r="AV13" s="460" t="s">
        <v>364</v>
      </c>
      <c r="AW13" s="460" t="s">
        <v>365</v>
      </c>
      <c r="AX13" s="460" t="s">
        <v>366</v>
      </c>
      <c r="AY13" s="460" t="s">
        <v>367</v>
      </c>
      <c r="AZ13" s="461" t="s">
        <v>368</v>
      </c>
    </row>
    <row r="14" spans="1:52" ht="15" x14ac:dyDescent="0.25">
      <c r="A14" s="8" t="s">
        <v>369</v>
      </c>
      <c r="B14">
        <v>100</v>
      </c>
      <c r="C14">
        <v>249</v>
      </c>
      <c r="D14">
        <v>249</v>
      </c>
      <c r="E14" t="s">
        <v>370</v>
      </c>
      <c r="F14" t="s">
        <v>371</v>
      </c>
      <c r="G14" t="s">
        <v>372</v>
      </c>
      <c r="H14" s="272">
        <f t="shared" ref="H14:X14" si="0">SUM(H15:H24)</f>
        <v>0</v>
      </c>
      <c r="I14" s="272">
        <f t="shared" si="0"/>
        <v>0</v>
      </c>
      <c r="J14" s="272">
        <f t="shared" si="0"/>
        <v>0</v>
      </c>
      <c r="K14" s="272">
        <f t="shared" si="0"/>
        <v>0</v>
      </c>
      <c r="L14" s="272">
        <f t="shared" si="0"/>
        <v>0</v>
      </c>
      <c r="M14" s="272">
        <f t="shared" si="0"/>
        <v>0</v>
      </c>
      <c r="N14" s="272">
        <f t="shared" si="0"/>
        <v>0</v>
      </c>
      <c r="O14" s="272">
        <f t="shared" si="0"/>
        <v>0</v>
      </c>
      <c r="P14" s="272">
        <f t="shared" si="0"/>
        <v>0</v>
      </c>
      <c r="Q14" s="272">
        <f t="shared" si="0"/>
        <v>0</v>
      </c>
      <c r="R14" s="272">
        <f t="shared" si="0"/>
        <v>0</v>
      </c>
      <c r="S14" s="272">
        <f t="shared" si="0"/>
        <v>0</v>
      </c>
      <c r="T14" s="272">
        <f t="shared" si="0"/>
        <v>0</v>
      </c>
      <c r="U14" s="272">
        <f t="shared" si="0"/>
        <v>0</v>
      </c>
      <c r="V14" s="272">
        <f t="shared" si="0"/>
        <v>0</v>
      </c>
      <c r="W14" s="272">
        <f t="shared" si="0"/>
        <v>0</v>
      </c>
      <c r="X14" s="272">
        <f t="shared" si="0"/>
        <v>0</v>
      </c>
      <c r="Y14" s="272">
        <f t="shared" ref="Y14" si="1">SUM(Y15:Y24)</f>
        <v>0</v>
      </c>
      <c r="Z14" s="29" t="s">
        <v>240</v>
      </c>
      <c r="AA14" s="30" t="s">
        <v>373</v>
      </c>
      <c r="AB14" s="31" t="s">
        <v>247</v>
      </c>
      <c r="AC14" s="31" t="s">
        <v>374</v>
      </c>
      <c r="AD14" s="31" t="s">
        <v>248</v>
      </c>
      <c r="AE14" s="31" t="s">
        <v>375</v>
      </c>
      <c r="AF14" s="31" t="s">
        <v>376</v>
      </c>
      <c r="AG14" s="31" t="s">
        <v>377</v>
      </c>
      <c r="AH14" s="31" t="s">
        <v>251</v>
      </c>
      <c r="AI14" s="31" t="s">
        <v>378</v>
      </c>
      <c r="AJ14" s="31" t="s">
        <v>379</v>
      </c>
      <c r="AK14" s="31" t="s">
        <v>380</v>
      </c>
      <c r="AL14" s="41" t="s">
        <v>381</v>
      </c>
      <c r="AM14" s="31" t="s">
        <v>382</v>
      </c>
      <c r="AN14" s="32" t="s">
        <v>383</v>
      </c>
      <c r="AO14" s="610"/>
      <c r="AP14" s="139" t="s">
        <v>384</v>
      </c>
      <c r="AQ14" t="s">
        <v>385</v>
      </c>
      <c r="AR14" s="454">
        <v>1</v>
      </c>
      <c r="AS14">
        <f>'PI-1-PowerEngine'!$B$78</f>
        <v>0</v>
      </c>
      <c r="AT14">
        <f>IF(OR(AU14=0,ISNUMBER(MATCH(AU14,$AU$13:AU13,0))),0,MAX($AT$13:AT13)+1)</f>
        <v>0</v>
      </c>
      <c r="AU14">
        <f>IF($AS$14&gt;=$AR14,ENGINE1!$B$6,0)</f>
        <v>0</v>
      </c>
      <c r="AV14" t="str">
        <f>IFERROR(VLOOKUP($AR14,$AT$14:$AU$23,2,FALSE),"")</f>
        <v/>
      </c>
      <c r="AW14">
        <f>'PI-1-PowerEngine'!$B$79</f>
        <v>0</v>
      </c>
      <c r="AX14">
        <f>IF(OR(AY14=0,ISNUMBER(MATCH(AY14,$AY$13:AY13,0))),0,MAX($AX$13:AX13)+1)</f>
        <v>0</v>
      </c>
      <c r="AY14">
        <f>IF($AW$14&gt;=$AR14,Tanks!$B$21,0)</f>
        <v>0</v>
      </c>
      <c r="AZ14" s="455" t="str">
        <f>IFERROR(VLOOKUP($AR14,$AX$14:$AY$23,2,FALSE),"")</f>
        <v/>
      </c>
    </row>
    <row r="15" spans="1:52" ht="15.75" customHeight="1" x14ac:dyDescent="0.25">
      <c r="A15" s="8" t="s">
        <v>386</v>
      </c>
      <c r="B15">
        <v>100</v>
      </c>
      <c r="C15">
        <v>249</v>
      </c>
      <c r="D15">
        <v>249</v>
      </c>
      <c r="E15" s="16">
        <f>IF(F15="",0,1)</f>
        <v>0</v>
      </c>
      <c r="F15" s="17" t="str">
        <f>IF(ISBLANK(ENGINE1!B6),"",ENGINE1!B6)</f>
        <v/>
      </c>
      <c r="G15" s="17" t="str">
        <f>IF(ENGINE1!$B$7="","",ENGINE1!$B$7)</f>
        <v/>
      </c>
      <c r="H15" s="273">
        <f>IF($F15&lt;&gt;"",ENGINE1!$B$43,0)</f>
        <v>0</v>
      </c>
      <c r="I15" s="273">
        <f>IF($F15&lt;&gt;"",ENGINE1!$D$43,0)</f>
        <v>0</v>
      </c>
      <c r="J15" s="273">
        <f>IF($F15&lt;&gt;"",ENGINE1!$B$44,0)</f>
        <v>0</v>
      </c>
      <c r="K15" s="273">
        <f>IF($F15&lt;&gt;"",ENGINE1!$D$44,0)</f>
        <v>0</v>
      </c>
      <c r="L15" s="273">
        <f>IF($F15&lt;&gt;"",ENGINE1!$B$45,0)</f>
        <v>0</v>
      </c>
      <c r="M15" s="273">
        <f>IF($F15&lt;&gt;"",ENGINE1!$D$45,0)</f>
        <v>0</v>
      </c>
      <c r="N15" s="273">
        <f>IF($F15&lt;&gt;"",ENGINE1!$B$46,0)</f>
        <v>0</v>
      </c>
      <c r="O15" s="273">
        <f>IF($F15&lt;&gt;"",ENGINE1!$D$46,0)</f>
        <v>0</v>
      </c>
      <c r="P15" s="273">
        <f>IF($F15&lt;&gt;"",ENGINE1!$B$47,0)</f>
        <v>0</v>
      </c>
      <c r="Q15" s="273">
        <f>IF($F15&lt;&gt;"",ENGINE1!$D$47,0)</f>
        <v>0</v>
      </c>
      <c r="R15" s="273">
        <f>IF($F15&lt;&gt;"",ENGINE1!$B$48,0)</f>
        <v>0</v>
      </c>
      <c r="S15" s="273">
        <f>IF($F15&lt;&gt;"",ENGINE1!$D$48,0)</f>
        <v>0</v>
      </c>
      <c r="T15" s="273">
        <f>IF($F15&lt;&gt;"",ENGINE1!$B$49,0)</f>
        <v>0</v>
      </c>
      <c r="U15" s="273">
        <f>IF($F15&lt;&gt;"",ENGINE1!$D$49,0)</f>
        <v>0</v>
      </c>
      <c r="V15" s="273">
        <f>IF($F15&lt;&gt;"",ENGINE1!$B$50,0)</f>
        <v>0</v>
      </c>
      <c r="W15" s="273">
        <f>IF($F15&lt;&gt;"",ENGINE1!$D$50,0)</f>
        <v>0</v>
      </c>
      <c r="X15" s="273">
        <f>IF($F15&lt;&gt;"",ENGINE1!$B$51,0)</f>
        <v>0</v>
      </c>
      <c r="Y15" s="274">
        <f>IF($F15&lt;&gt;"",ENGINE1!$D$51,0)</f>
        <v>0</v>
      </c>
      <c r="Z15" s="42" t="s">
        <v>387</v>
      </c>
      <c r="AA15" s="614" t="b">
        <f>OR(AB15:AN15)</f>
        <v>0</v>
      </c>
      <c r="AB15" s="615" t="b">
        <f>AB16</f>
        <v>0</v>
      </c>
      <c r="AC15" s="615" t="b">
        <f t="shared" ref="AC15:AN15" si="2">AC16</f>
        <v>0</v>
      </c>
      <c r="AD15" s="615" t="b">
        <f t="shared" si="2"/>
        <v>0</v>
      </c>
      <c r="AE15" s="615" t="b">
        <f t="shared" si="2"/>
        <v>0</v>
      </c>
      <c r="AF15" s="615" t="b">
        <f t="shared" si="2"/>
        <v>0</v>
      </c>
      <c r="AG15" s="615" t="b">
        <f t="shared" si="2"/>
        <v>0</v>
      </c>
      <c r="AH15" s="615" t="b">
        <f t="shared" si="2"/>
        <v>0</v>
      </c>
      <c r="AI15" s="615" t="b">
        <f t="shared" si="2"/>
        <v>0</v>
      </c>
      <c r="AJ15" s="615" t="b">
        <f t="shared" si="2"/>
        <v>0</v>
      </c>
      <c r="AK15" s="615" t="b">
        <f t="shared" si="2"/>
        <v>0</v>
      </c>
      <c r="AL15" s="615" t="b">
        <f t="shared" si="2"/>
        <v>0</v>
      </c>
      <c r="AM15" s="615" t="b">
        <f t="shared" si="2"/>
        <v>0</v>
      </c>
      <c r="AN15" s="616" t="b">
        <f t="shared" si="2"/>
        <v>0</v>
      </c>
      <c r="AO15" s="611"/>
      <c r="AP15" s="139" t="s">
        <v>388</v>
      </c>
      <c r="AQ15" t="s">
        <v>389</v>
      </c>
      <c r="AR15" s="454">
        <v>2</v>
      </c>
      <c r="AT15">
        <f>IF(OR(AU15=0,ISNUMBER(MATCH(AU15,$AU$13:AU14,0))),0,MAX($AT$13:AT14)+1)</f>
        <v>0</v>
      </c>
      <c r="AU15">
        <f>IF($AS$14&gt;=$AR15,ENGINE2!$B$6,0)</f>
        <v>0</v>
      </c>
      <c r="AV15" t="str">
        <f t="shared" ref="AV15:AV23" si="3">IFERROR(VLOOKUP($AR15,$AT$14:$AU$23,2,FALSE),"")</f>
        <v/>
      </c>
      <c r="AX15">
        <f>IF(OR(AY15=0,ISNUMBER(MATCH(AY15,$AY$13:AY14,0))),0,MAX($AX$13:AX14)+1)</f>
        <v>0</v>
      </c>
      <c r="AY15">
        <f>IF($AW$14&gt;=$AR15,Tanks!$B$35,0)</f>
        <v>0</v>
      </c>
      <c r="AZ15" s="455" t="str">
        <f t="shared" ref="AZ15:AZ23" si="4">IFERROR(VLOOKUP($AR15,$AX$14:$AY$23,2,FALSE),"")</f>
        <v/>
      </c>
    </row>
    <row r="16" spans="1:52" ht="15.75" customHeight="1" x14ac:dyDescent="0.25">
      <c r="A16" s="8" t="s">
        <v>390</v>
      </c>
      <c r="B16">
        <v>100</v>
      </c>
      <c r="C16">
        <v>249</v>
      </c>
      <c r="D16">
        <v>249</v>
      </c>
      <c r="E16" s="18">
        <f>IF(F16="",0,MAX($E$15:E15)+1)</f>
        <v>0</v>
      </c>
      <c r="F16" s="19" t="str">
        <f>IF(ISBLANK(ENGINE2!B6),"",ENGINE2!B6)</f>
        <v/>
      </c>
      <c r="G16" s="19" t="str">
        <f>IF(ENGINE2!$B$7="","",ENGINE2!$B$7)</f>
        <v/>
      </c>
      <c r="H16" s="275">
        <f>IF($F16&lt;&gt;"",ENGINE2!$B$43,0)</f>
        <v>0</v>
      </c>
      <c r="I16" s="275">
        <f>IF($F16&lt;&gt;"",ENGINE2!$D$43,0)</f>
        <v>0</v>
      </c>
      <c r="J16" s="275">
        <f>IF($F16&lt;&gt;"",ENGINE2!$B$44,0)</f>
        <v>0</v>
      </c>
      <c r="K16" s="275">
        <f>IF($F16&lt;&gt;"",ENGINE2!$D$44,0)</f>
        <v>0</v>
      </c>
      <c r="L16" s="275">
        <f>IF($F16&lt;&gt;"",ENGINE2!$B$45,0)</f>
        <v>0</v>
      </c>
      <c r="M16" s="275">
        <f>IF($F16&lt;&gt;"",ENGINE2!$D$45,0)</f>
        <v>0</v>
      </c>
      <c r="N16" s="275">
        <f>IF($F16&lt;&gt;"",ENGINE2!$B$46,0)</f>
        <v>0</v>
      </c>
      <c r="O16" s="275">
        <f>IF($F16&lt;&gt;"",ENGINE2!$D$46,0)</f>
        <v>0</v>
      </c>
      <c r="P16" s="275">
        <f>IF($F16&lt;&gt;"",ENGINE2!$B$47,0)</f>
        <v>0</v>
      </c>
      <c r="Q16" s="275">
        <f>IF($F16&lt;&gt;"",ENGINE2!$D$47,0)</f>
        <v>0</v>
      </c>
      <c r="R16" s="275">
        <f>IF($F16&lt;&gt;"",ENGINE2!$B$48,0)</f>
        <v>0</v>
      </c>
      <c r="S16" s="275">
        <f>IF($F16&lt;&gt;"",ENGINE2!$D$48,0)</f>
        <v>0</v>
      </c>
      <c r="T16" s="275">
        <f>IF($F16&lt;&gt;"",ENGINE2!$B$49,0)</f>
        <v>0</v>
      </c>
      <c r="U16" s="275">
        <f>IF($F16&lt;&gt;"",ENGINE2!$D$49,0)</f>
        <v>0</v>
      </c>
      <c r="V16" s="275">
        <f>IF($F16&lt;&gt;"",ENGINE2!$B$50,0)</f>
        <v>0</v>
      </c>
      <c r="W16" s="275">
        <f>IF($F16&lt;&gt;"",ENGINE2!$D$50,0)</f>
        <v>0</v>
      </c>
      <c r="X16" s="275">
        <f>IF($F16&lt;&gt;"",ENGINE2!$B$51,0)</f>
        <v>0</v>
      </c>
      <c r="Y16" s="276">
        <f>IF($F16&lt;&gt;"",ENGINE2!$D$51,0)</f>
        <v>0</v>
      </c>
      <c r="Z16" s="42" t="s">
        <v>391</v>
      </c>
      <c r="AA16" s="614" t="b">
        <f>OR(AB16:AN16)</f>
        <v>0</v>
      </c>
      <c r="AB16" s="617" t="b">
        <f>OR(AB17:AB27)</f>
        <v>0</v>
      </c>
      <c r="AC16" s="617" t="b">
        <f t="shared" ref="AC16:AN16" si="5">OR(AC17:AC27)</f>
        <v>0</v>
      </c>
      <c r="AD16" s="617" t="b">
        <f t="shared" si="5"/>
        <v>0</v>
      </c>
      <c r="AE16" s="617" t="b">
        <f t="shared" si="5"/>
        <v>0</v>
      </c>
      <c r="AF16" s="617" t="b">
        <f t="shared" si="5"/>
        <v>0</v>
      </c>
      <c r="AG16" s="617" t="b">
        <f t="shared" si="5"/>
        <v>0</v>
      </c>
      <c r="AH16" s="615" t="b">
        <f t="shared" si="5"/>
        <v>0</v>
      </c>
      <c r="AI16" s="615" t="b">
        <f t="shared" si="5"/>
        <v>0</v>
      </c>
      <c r="AJ16" s="615" t="b">
        <f t="shared" si="5"/>
        <v>0</v>
      </c>
      <c r="AK16" s="615" t="b">
        <f t="shared" si="5"/>
        <v>0</v>
      </c>
      <c r="AL16" s="615" t="b">
        <f t="shared" si="5"/>
        <v>0</v>
      </c>
      <c r="AM16" s="615" t="b">
        <f t="shared" si="5"/>
        <v>0</v>
      </c>
      <c r="AN16" s="616" t="b">
        <f t="shared" si="5"/>
        <v>0</v>
      </c>
      <c r="AO16" s="611"/>
      <c r="AP16" s="139" t="s">
        <v>392</v>
      </c>
      <c r="AQ16" t="s">
        <v>393</v>
      </c>
      <c r="AR16" s="454">
        <v>3</v>
      </c>
      <c r="AT16">
        <f>IF(OR(AU16=0,ISNUMBER(MATCH(AU16,$AU$13:AU15,0))),0,MAX($AT$13:AT15)+1)</f>
        <v>0</v>
      </c>
      <c r="AU16">
        <f>IF($AS$14&gt;=$AR16,ENGINE3!$B$6,0)</f>
        <v>0</v>
      </c>
      <c r="AV16" t="str">
        <f t="shared" si="3"/>
        <v/>
      </c>
      <c r="AX16">
        <f>IF(OR(AY16=0,ISNUMBER(MATCH(AY16,$AY$13:AY15,0))),0,MAX($AX$13:AX15)+1)</f>
        <v>0</v>
      </c>
      <c r="AY16">
        <f>IF($AW$14&gt;=$AR16,Tanks!$B$49,0)</f>
        <v>0</v>
      </c>
      <c r="AZ16" s="455" t="str">
        <f t="shared" si="4"/>
        <v/>
      </c>
    </row>
    <row r="17" spans="1:52" ht="15.75" customHeight="1" x14ac:dyDescent="0.25">
      <c r="A17" s="8" t="s">
        <v>394</v>
      </c>
      <c r="B17">
        <v>100</v>
      </c>
      <c r="C17">
        <v>249</v>
      </c>
      <c r="D17">
        <v>249</v>
      </c>
      <c r="E17" s="18">
        <f>IF(F17="",0,MAX($E$15:E16)+1)</f>
        <v>0</v>
      </c>
      <c r="F17" s="19" t="str">
        <f>IF(ISBLANK(ENGINE3!B6),"",ENGINE3!B6)</f>
        <v/>
      </c>
      <c r="G17" s="19" t="str">
        <f>IF(ENGINE3!$B$7="","",ENGINE3!$B$7)</f>
        <v/>
      </c>
      <c r="H17" s="275">
        <f>IF($F17&lt;&gt;"",ENGINE3!$B$43,0)</f>
        <v>0</v>
      </c>
      <c r="I17" s="275">
        <f>IF($F17&lt;&gt;"",ENGINE3!$D$43,0)</f>
        <v>0</v>
      </c>
      <c r="J17" s="275">
        <f>IF($F17&lt;&gt;"",ENGINE3!$B$44,0)</f>
        <v>0</v>
      </c>
      <c r="K17" s="275">
        <f>IF($F17&lt;&gt;"",ENGINE3!$D$44,0)</f>
        <v>0</v>
      </c>
      <c r="L17" s="275">
        <f>IF($F17&lt;&gt;"",ENGINE3!$B$45,0)</f>
        <v>0</v>
      </c>
      <c r="M17" s="275">
        <f>IF($F17&lt;&gt;"",ENGINE3!$D$45,0)</f>
        <v>0</v>
      </c>
      <c r="N17" s="275">
        <f>IF($F17&lt;&gt;"",ENGINE3!$B$46,0)</f>
        <v>0</v>
      </c>
      <c r="O17" s="275">
        <f>IF($F17&lt;&gt;"",ENGINE3!$D$46,0)</f>
        <v>0</v>
      </c>
      <c r="P17" s="275">
        <f>IF($F17&lt;&gt;"",ENGINE3!$B$47,0)</f>
        <v>0</v>
      </c>
      <c r="Q17" s="275">
        <f>IF($F17&lt;&gt;"",ENGINE3!$D$47,0)</f>
        <v>0</v>
      </c>
      <c r="R17" s="275">
        <f>IF($F17&lt;&gt;"",ENGINE3!$B$48,0)</f>
        <v>0</v>
      </c>
      <c r="S17" s="275">
        <f>IF($F17&lt;&gt;"",ENGINE3!$D$48,0)</f>
        <v>0</v>
      </c>
      <c r="T17" s="275">
        <f>IF($F17&lt;&gt;"",ENGINE3!$B$49,0)</f>
        <v>0</v>
      </c>
      <c r="U17" s="275">
        <f>IF($F17&lt;&gt;"",ENGINE3!$D$49,0)</f>
        <v>0</v>
      </c>
      <c r="V17" s="275">
        <f>IF($F17&lt;&gt;"",ENGINE3!$B$50,0)</f>
        <v>0</v>
      </c>
      <c r="W17" s="275">
        <f>IF($F17&lt;&gt;"",ENGINE3!$D$50,0)</f>
        <v>0</v>
      </c>
      <c r="X17" s="275">
        <f>IF($F17&lt;&gt;"",ENGINE3!$B$51,0)</f>
        <v>0</v>
      </c>
      <c r="Y17" s="276">
        <f>IF($F17&lt;&gt;"",ENGINE3!$D$51,0)</f>
        <v>0</v>
      </c>
      <c r="Z17" s="34" t="s">
        <v>395</v>
      </c>
      <c r="AA17" s="614" t="b">
        <f>NOT(AND(ISBLANK(ENGINE1!$B$6),'PI-1-PowerEngine'!$B$78&lt;Reference!$AO17))</f>
        <v>0</v>
      </c>
      <c r="AB17" s="617" t="b">
        <f>AA17</f>
        <v>0</v>
      </c>
      <c r="AC17" s="617" t="b">
        <f t="shared" ref="AC17:AN17" si="6">AB17</f>
        <v>0</v>
      </c>
      <c r="AD17" s="617" t="b">
        <f t="shared" si="6"/>
        <v>0</v>
      </c>
      <c r="AE17" s="617" t="b">
        <f t="shared" si="6"/>
        <v>0</v>
      </c>
      <c r="AF17" s="617" t="b">
        <f t="shared" si="6"/>
        <v>0</v>
      </c>
      <c r="AG17" s="617" t="b">
        <f t="shared" si="6"/>
        <v>0</v>
      </c>
      <c r="AH17" s="617" t="b">
        <f t="shared" si="6"/>
        <v>0</v>
      </c>
      <c r="AI17" s="617" t="b">
        <f t="shared" si="6"/>
        <v>0</v>
      </c>
      <c r="AJ17" s="617" t="b">
        <f t="shared" si="6"/>
        <v>0</v>
      </c>
      <c r="AK17" s="617" t="b">
        <f t="shared" si="6"/>
        <v>0</v>
      </c>
      <c r="AL17" s="617" t="b">
        <f t="shared" si="6"/>
        <v>0</v>
      </c>
      <c r="AM17" s="617" t="b">
        <f t="shared" si="6"/>
        <v>0</v>
      </c>
      <c r="AN17" s="618" t="b">
        <f t="shared" si="6"/>
        <v>0</v>
      </c>
      <c r="AO17" s="612">
        <v>1</v>
      </c>
      <c r="AP17" s="139" t="s">
        <v>396</v>
      </c>
      <c r="AQ17" t="s">
        <v>397</v>
      </c>
      <c r="AR17" s="454">
        <v>4</v>
      </c>
      <c r="AT17">
        <f>IF(OR(AU17=0,ISNUMBER(MATCH(AU17,$AU$13:AU16,0))),0,MAX($AT$13:AT16)+1)</f>
        <v>0</v>
      </c>
      <c r="AU17">
        <f>IF($AS$14&gt;=$AR17,ENGINE4!$B$6,0)</f>
        <v>0</v>
      </c>
      <c r="AV17" t="str">
        <f t="shared" si="3"/>
        <v/>
      </c>
      <c r="AX17">
        <f>IF(OR(AY17=0,ISNUMBER(MATCH(AY17,$AY$13:AY16,0))),0,MAX($AX$13:AX16)+1)</f>
        <v>0</v>
      </c>
      <c r="AY17">
        <f>IF($AW$14&gt;=$AR17,Tanks!$B$63,0)</f>
        <v>0</v>
      </c>
      <c r="AZ17" s="455" t="str">
        <f t="shared" si="4"/>
        <v/>
      </c>
    </row>
    <row r="18" spans="1:52" ht="49.5" customHeight="1" x14ac:dyDescent="0.25">
      <c r="A18" s="8" t="s">
        <v>398</v>
      </c>
      <c r="B18">
        <v>100</v>
      </c>
      <c r="C18">
        <v>249</v>
      </c>
      <c r="D18">
        <v>249</v>
      </c>
      <c r="E18" s="18">
        <f>IF(F18="",0,MAX($E$15:E17)+1)</f>
        <v>0</v>
      </c>
      <c r="F18" s="19" t="str">
        <f>IF(ISBLANK(ENGINE4!B6),"",ENGINE4!B6)</f>
        <v/>
      </c>
      <c r="G18" s="19" t="str">
        <f>IF(ENGINE4!$B$7="","",ENGINE4!$B$7)</f>
        <v/>
      </c>
      <c r="H18" s="275">
        <f>IF($F18&lt;&gt;"",ENGINE4!$B$43,0)</f>
        <v>0</v>
      </c>
      <c r="I18" s="275">
        <f>IF($F18&lt;&gt;"",ENGINE4!$D$43,0)</f>
        <v>0</v>
      </c>
      <c r="J18" s="275">
        <f>IF($F18&lt;&gt;"",ENGINE4!$B$44,0)</f>
        <v>0</v>
      </c>
      <c r="K18" s="275">
        <f>IF($F18&lt;&gt;"",ENGINE4!$D$44,0)</f>
        <v>0</v>
      </c>
      <c r="L18" s="275">
        <f>IF($F18&lt;&gt;"",ENGINE4!$B$45,0)</f>
        <v>0</v>
      </c>
      <c r="M18" s="275">
        <f>IF($F18&lt;&gt;"",ENGINE4!$D$45,0)</f>
        <v>0</v>
      </c>
      <c r="N18" s="275">
        <f>IF($F18&lt;&gt;"",ENGINE4!$B$46,0)</f>
        <v>0</v>
      </c>
      <c r="O18" s="275">
        <f>IF($F18&lt;&gt;"",ENGINE4!$D$46,0)</f>
        <v>0</v>
      </c>
      <c r="P18" s="275">
        <f>IF($F18&lt;&gt;"",ENGINE4!$B$47,0)</f>
        <v>0</v>
      </c>
      <c r="Q18" s="275">
        <f>IF($F18&lt;&gt;"",ENGINE4!$D$47,0)</f>
        <v>0</v>
      </c>
      <c r="R18" s="275">
        <f>IF($F18&lt;&gt;"",ENGINE4!$B$48,0)</f>
        <v>0</v>
      </c>
      <c r="S18" s="275">
        <f>IF($F18&lt;&gt;"",ENGINE4!$D$48,0)</f>
        <v>0</v>
      </c>
      <c r="T18" s="275">
        <f>IF($F18&lt;&gt;"",ENGINE4!$B$49,0)</f>
        <v>0</v>
      </c>
      <c r="U18" s="275">
        <f>IF($F18&lt;&gt;"",ENGINE4!$D$49,0)</f>
        <v>0</v>
      </c>
      <c r="V18" s="275">
        <f>IF($F18&lt;&gt;"",ENGINE4!$B$50,0)</f>
        <v>0</v>
      </c>
      <c r="W18" s="275">
        <f>IF($F18&lt;&gt;"",ENGINE4!$D$50,0)</f>
        <v>0</v>
      </c>
      <c r="X18" s="275">
        <f>IF($F18&lt;&gt;"",ENGINE4!$B$51,0)</f>
        <v>0</v>
      </c>
      <c r="Y18" s="276">
        <f>IF($F18&lt;&gt;"",ENGINE4!$D$51,0)</f>
        <v>0</v>
      </c>
      <c r="Z18" s="34" t="s">
        <v>399</v>
      </c>
      <c r="AA18" s="614" t="b">
        <f>NOT(AND(ISBLANK(ENGINE2!$B$6),'PI-1-PowerEngine'!$B$78&lt;Reference!$AO18))</f>
        <v>0</v>
      </c>
      <c r="AB18" s="617" t="b">
        <f t="shared" ref="AB18:AN18" si="7">AA18</f>
        <v>0</v>
      </c>
      <c r="AC18" s="617" t="b">
        <f t="shared" si="7"/>
        <v>0</v>
      </c>
      <c r="AD18" s="617" t="b">
        <f t="shared" si="7"/>
        <v>0</v>
      </c>
      <c r="AE18" s="617" t="b">
        <f t="shared" si="7"/>
        <v>0</v>
      </c>
      <c r="AF18" s="617" t="b">
        <f t="shared" si="7"/>
        <v>0</v>
      </c>
      <c r="AG18" s="617" t="b">
        <f t="shared" si="7"/>
        <v>0</v>
      </c>
      <c r="AH18" s="617" t="b">
        <f t="shared" si="7"/>
        <v>0</v>
      </c>
      <c r="AI18" s="617" t="b">
        <f t="shared" si="7"/>
        <v>0</v>
      </c>
      <c r="AJ18" s="617" t="b">
        <f t="shared" si="7"/>
        <v>0</v>
      </c>
      <c r="AK18" s="617" t="b">
        <f t="shared" si="7"/>
        <v>0</v>
      </c>
      <c r="AL18" s="617" t="b">
        <f t="shared" si="7"/>
        <v>0</v>
      </c>
      <c r="AM18" s="617" t="b">
        <f t="shared" si="7"/>
        <v>0</v>
      </c>
      <c r="AN18" s="618" t="b">
        <f t="shared" si="7"/>
        <v>0</v>
      </c>
      <c r="AO18" s="613">
        <v>2</v>
      </c>
      <c r="AR18" s="454">
        <v>5</v>
      </c>
      <c r="AT18">
        <f>IF(OR(AU18=0,ISNUMBER(MATCH(AU18,$AU$13:AU17,0))),0,MAX($AT$13:AT17)+1)</f>
        <v>0</v>
      </c>
      <c r="AU18">
        <f>IF($AS$14&gt;=$AR18,ENGINE5!$B$6,0)</f>
        <v>0</v>
      </c>
      <c r="AV18" t="str">
        <f t="shared" si="3"/>
        <v/>
      </c>
      <c r="AX18">
        <f>IF(OR(AY18=0,ISNUMBER(MATCH(AY18,$AY$13:AY17,0))),0,MAX($AX$13:AX17)+1)</f>
        <v>0</v>
      </c>
      <c r="AY18">
        <f>IF($AW$14&gt;=$AR18,Tanks!$B$77,0)</f>
        <v>0</v>
      </c>
      <c r="AZ18" s="455" t="str">
        <f t="shared" si="4"/>
        <v/>
      </c>
    </row>
    <row r="19" spans="1:52" ht="15.75" customHeight="1" x14ac:dyDescent="0.25">
      <c r="A19" s="46" t="s">
        <v>400</v>
      </c>
      <c r="B19">
        <v>100</v>
      </c>
      <c r="C19">
        <v>249</v>
      </c>
      <c r="D19">
        <v>249</v>
      </c>
      <c r="E19" s="18">
        <f>IF(F19="",0,MAX($E$15:E18)+1)</f>
        <v>0</v>
      </c>
      <c r="F19" s="19" t="str">
        <f>IF(ISBLANK(ENGINE5!B6),"",ENGINE5!B6)</f>
        <v/>
      </c>
      <c r="G19" s="19" t="str">
        <f>IF(ENGINE5!$B$7="","",ENGINE5!$B$7)</f>
        <v/>
      </c>
      <c r="H19" s="275">
        <f>IF($F19&lt;&gt;"",ENGINE5!$B$43,0)</f>
        <v>0</v>
      </c>
      <c r="I19" s="275">
        <f>IF($F19&lt;&gt;"",ENGINE5!$D$43,0)</f>
        <v>0</v>
      </c>
      <c r="J19" s="275">
        <f>IF($F19&lt;&gt;"",ENGINE5!$B$44,0)</f>
        <v>0</v>
      </c>
      <c r="K19" s="275">
        <f>IF($F19&lt;&gt;"",ENGINE5!$D$44,0)</f>
        <v>0</v>
      </c>
      <c r="L19" s="275">
        <f>IF($F19&lt;&gt;"",ENGINE5!$B$45,0)</f>
        <v>0</v>
      </c>
      <c r="M19" s="275">
        <f>IF($F19&lt;&gt;"",ENGINE5!$D$45,0)</f>
        <v>0</v>
      </c>
      <c r="N19" s="275">
        <f>IF($F19&lt;&gt;"",ENGINE5!$B$46,0)</f>
        <v>0</v>
      </c>
      <c r="O19" s="275">
        <f>IF($F19&lt;&gt;"",ENGINE5!$D$46,0)</f>
        <v>0</v>
      </c>
      <c r="P19" s="275">
        <f>IF($F19&lt;&gt;"",ENGINE5!$B$47,0)</f>
        <v>0</v>
      </c>
      <c r="Q19" s="275">
        <f>IF($F19&lt;&gt;"",ENGINE5!$D$47,0)</f>
        <v>0</v>
      </c>
      <c r="R19" s="275">
        <f>IF($F19&lt;&gt;"",ENGINE5!$B$48,0)</f>
        <v>0</v>
      </c>
      <c r="S19" s="275">
        <f>IF($F19&lt;&gt;"",ENGINE5!$D$48,0)</f>
        <v>0</v>
      </c>
      <c r="T19" s="275">
        <f>IF($F19&lt;&gt;"",ENGINE5!$B$49,0)</f>
        <v>0</v>
      </c>
      <c r="U19" s="275">
        <f>IF($F19&lt;&gt;"",ENGINE5!$D$49,0)</f>
        <v>0</v>
      </c>
      <c r="V19" s="275">
        <f>IF($F19&lt;&gt;"",ENGINE5!$B$50,0)</f>
        <v>0</v>
      </c>
      <c r="W19" s="275">
        <f>IF($F19&lt;&gt;"",ENGINE5!$D$50,0)</f>
        <v>0</v>
      </c>
      <c r="X19" s="275">
        <f>IF($F19&lt;&gt;"",ENGINE5!$B$51,0)</f>
        <v>0</v>
      </c>
      <c r="Y19" s="276">
        <f>IF($F19&lt;&gt;"",ENGINE5!$D$51,0)</f>
        <v>0</v>
      </c>
      <c r="Z19" s="34" t="s">
        <v>401</v>
      </c>
      <c r="AA19" s="614" t="b">
        <f>NOT(AND(ISBLANK(ENGINE3!$B$6),'PI-1-PowerEngine'!$B$78&lt;Reference!$AO19))</f>
        <v>0</v>
      </c>
      <c r="AB19" s="617" t="b">
        <f t="shared" ref="AB19:AN19" si="8">AA19</f>
        <v>0</v>
      </c>
      <c r="AC19" s="617" t="b">
        <f t="shared" si="8"/>
        <v>0</v>
      </c>
      <c r="AD19" s="617" t="b">
        <f t="shared" si="8"/>
        <v>0</v>
      </c>
      <c r="AE19" s="617" t="b">
        <f t="shared" si="8"/>
        <v>0</v>
      </c>
      <c r="AF19" s="617" t="b">
        <f t="shared" si="8"/>
        <v>0</v>
      </c>
      <c r="AG19" s="617" t="b">
        <f t="shared" si="8"/>
        <v>0</v>
      </c>
      <c r="AH19" s="617" t="b">
        <f t="shared" si="8"/>
        <v>0</v>
      </c>
      <c r="AI19" s="617" t="b">
        <f t="shared" si="8"/>
        <v>0</v>
      </c>
      <c r="AJ19" s="617" t="b">
        <f t="shared" si="8"/>
        <v>0</v>
      </c>
      <c r="AK19" s="617" t="b">
        <f t="shared" si="8"/>
        <v>0</v>
      </c>
      <c r="AL19" s="617" t="b">
        <f t="shared" si="8"/>
        <v>0</v>
      </c>
      <c r="AM19" s="617" t="b">
        <f t="shared" si="8"/>
        <v>0</v>
      </c>
      <c r="AN19" s="618" t="b">
        <f t="shared" si="8"/>
        <v>0</v>
      </c>
      <c r="AO19" s="613">
        <v>3</v>
      </c>
      <c r="AR19" s="454">
        <v>6</v>
      </c>
      <c r="AT19">
        <f>IF(OR(AU19=0,ISNUMBER(MATCH(AU19,$AU$13:AU18,0))),0,MAX($AT$13:AT18)+1)</f>
        <v>0</v>
      </c>
      <c r="AU19">
        <f>IF($AS$14&gt;=$AR19,ENGINE6!$B$6,0)</f>
        <v>0</v>
      </c>
      <c r="AV19" t="str">
        <f t="shared" si="3"/>
        <v/>
      </c>
      <c r="AX19">
        <f>IF(OR(AY19=0,ISNUMBER(MATCH(AY19,$AY$13:AY18,0))),0,MAX($AX$13:AX18)+1)</f>
        <v>0</v>
      </c>
      <c r="AY19">
        <f>IF($AW$14&gt;=$AR19,Tanks!$B$91,0)</f>
        <v>0</v>
      </c>
      <c r="AZ19" s="455" t="str">
        <f t="shared" si="4"/>
        <v/>
      </c>
    </row>
    <row r="20" spans="1:52" ht="15.75" customHeight="1" x14ac:dyDescent="0.25">
      <c r="A20" s="8" t="s">
        <v>402</v>
      </c>
      <c r="B20">
        <v>100</v>
      </c>
      <c r="C20">
        <v>249</v>
      </c>
      <c r="D20">
        <v>249</v>
      </c>
      <c r="E20" s="18">
        <f>IF(F20="",0,MAX($E$15:E19)+1)</f>
        <v>0</v>
      </c>
      <c r="F20" s="19" t="str">
        <f>IF(ISBLANK(ENGINE6!B6),"",ENGINE6!B6)</f>
        <v/>
      </c>
      <c r="G20" s="19" t="str">
        <f>IF(ENGINE6!$B$7="","",ENGINE6!$B$7)</f>
        <v/>
      </c>
      <c r="H20" s="275">
        <f>IF($F20&lt;&gt;"",ENGINE6!$B$43,0)</f>
        <v>0</v>
      </c>
      <c r="I20" s="275">
        <f>IF($F20&lt;&gt;"",ENGINE6!$D$43,0)</f>
        <v>0</v>
      </c>
      <c r="J20" s="275">
        <f>IF($F20&lt;&gt;"",ENGINE6!$B$44,0)</f>
        <v>0</v>
      </c>
      <c r="K20" s="275">
        <f>IF($F20&lt;&gt;"",ENGINE6!$D$44,0)</f>
        <v>0</v>
      </c>
      <c r="L20" s="275">
        <f>IF($F20&lt;&gt;"",ENGINE6!$B$45,0)</f>
        <v>0</v>
      </c>
      <c r="M20" s="275">
        <f>IF($F20&lt;&gt;"",ENGINE6!$D$45,0)</f>
        <v>0</v>
      </c>
      <c r="N20" s="275">
        <f>IF($F20&lt;&gt;"",ENGINE6!$B$46,0)</f>
        <v>0</v>
      </c>
      <c r="O20" s="275">
        <f>IF($F20&lt;&gt;"",ENGINE6!$D$46,0)</f>
        <v>0</v>
      </c>
      <c r="P20" s="275">
        <f>IF($F20&lt;&gt;"",ENGINE6!$B$47,0)</f>
        <v>0</v>
      </c>
      <c r="Q20" s="275">
        <f>IF($F20&lt;&gt;"",ENGINE6!$D$47,0)</f>
        <v>0</v>
      </c>
      <c r="R20" s="275">
        <f>IF($F20&lt;&gt;"",ENGINE6!$B$48,0)</f>
        <v>0</v>
      </c>
      <c r="S20" s="275">
        <f>IF($F20&lt;&gt;"",ENGINE6!$D$48,0)</f>
        <v>0</v>
      </c>
      <c r="T20" s="275">
        <f>IF($F20&lt;&gt;"",ENGINE6!$B$49,0)</f>
        <v>0</v>
      </c>
      <c r="U20" s="275">
        <f>IF($F20&lt;&gt;"",ENGINE6!$D$49,0)</f>
        <v>0</v>
      </c>
      <c r="V20" s="275">
        <f>IF($F20&lt;&gt;"",ENGINE6!$B$50,0)</f>
        <v>0</v>
      </c>
      <c r="W20" s="275">
        <f>IF($F20&lt;&gt;"",ENGINE6!$D$50,0)</f>
        <v>0</v>
      </c>
      <c r="X20" s="275">
        <f>IF($F20&lt;&gt;"",ENGINE6!$B$51,0)</f>
        <v>0</v>
      </c>
      <c r="Y20" s="276">
        <f>IF($F20&lt;&gt;"",ENGINE6!$D$51,0)</f>
        <v>0</v>
      </c>
      <c r="Z20" s="34" t="s">
        <v>403</v>
      </c>
      <c r="AA20" s="614" t="b">
        <f>NOT(AND(ISBLANK(ENGINE4!$B$6),'PI-1-PowerEngine'!$B$78&lt;Reference!$AO20))</f>
        <v>0</v>
      </c>
      <c r="AB20" s="617" t="b">
        <f t="shared" ref="AB20:AN20" si="9">AA20</f>
        <v>0</v>
      </c>
      <c r="AC20" s="617" t="b">
        <f t="shared" si="9"/>
        <v>0</v>
      </c>
      <c r="AD20" s="617" t="b">
        <f t="shared" si="9"/>
        <v>0</v>
      </c>
      <c r="AE20" s="617" t="b">
        <f t="shared" si="9"/>
        <v>0</v>
      </c>
      <c r="AF20" s="617" t="b">
        <f t="shared" si="9"/>
        <v>0</v>
      </c>
      <c r="AG20" s="617" t="b">
        <f t="shared" si="9"/>
        <v>0</v>
      </c>
      <c r="AH20" s="617" t="b">
        <f t="shared" si="9"/>
        <v>0</v>
      </c>
      <c r="AI20" s="617" t="b">
        <f t="shared" si="9"/>
        <v>0</v>
      </c>
      <c r="AJ20" s="617" t="b">
        <f t="shared" si="9"/>
        <v>0</v>
      </c>
      <c r="AK20" s="617" t="b">
        <f t="shared" si="9"/>
        <v>0</v>
      </c>
      <c r="AL20" s="617" t="b">
        <f t="shared" si="9"/>
        <v>0</v>
      </c>
      <c r="AM20" s="617" t="b">
        <f t="shared" si="9"/>
        <v>0</v>
      </c>
      <c r="AN20" s="618" t="b">
        <f t="shared" si="9"/>
        <v>0</v>
      </c>
      <c r="AO20" s="613">
        <v>4</v>
      </c>
      <c r="AR20" s="454">
        <v>7</v>
      </c>
      <c r="AT20">
        <f>IF(OR(AU20=0,ISNUMBER(MATCH(AU20,$AU$13:AU19,0))),0,MAX($AT$13:AT19)+1)</f>
        <v>0</v>
      </c>
      <c r="AU20">
        <f>IF($AS$14&gt;=$AR20,ENGINE7!$B$6,0)</f>
        <v>0</v>
      </c>
      <c r="AV20" t="str">
        <f t="shared" si="3"/>
        <v/>
      </c>
      <c r="AX20">
        <f>IF(OR(AY20=0,ISNUMBER(MATCH(AY20,$AY$13:AY19,0))),0,MAX($AX$13:AX19)+1)</f>
        <v>0</v>
      </c>
      <c r="AY20">
        <f>IF($AW$14&gt;=$AR20,Tanks!$B$105,0)</f>
        <v>0</v>
      </c>
      <c r="AZ20" s="455" t="str">
        <f t="shared" si="4"/>
        <v/>
      </c>
    </row>
    <row r="21" spans="1:52" ht="15.75" customHeight="1" x14ac:dyDescent="0.25">
      <c r="A21" s="8" t="s">
        <v>404</v>
      </c>
      <c r="B21">
        <v>100</v>
      </c>
      <c r="C21">
        <v>249</v>
      </c>
      <c r="D21">
        <v>249</v>
      </c>
      <c r="E21" s="18">
        <f>IF(F21="",0,MAX($E$15:E20)+1)</f>
        <v>0</v>
      </c>
      <c r="F21" s="19" t="str">
        <f>IF(ISBLANK(ENGINE7!B6),"",ENGINE7!B6)</f>
        <v/>
      </c>
      <c r="G21" s="19" t="str">
        <f>IF(ENGINE7!$B$7="","",ENGINE7!$B$7)</f>
        <v/>
      </c>
      <c r="H21" s="275">
        <f>IF($F21&lt;&gt;"",ENGINE7!$B$43,0)</f>
        <v>0</v>
      </c>
      <c r="I21" s="275">
        <f>IF($F21&lt;&gt;"",ENGINE7!$D$43,0)</f>
        <v>0</v>
      </c>
      <c r="J21" s="275">
        <f>IF($F21&lt;&gt;"",ENGINE7!$B$44,0)</f>
        <v>0</v>
      </c>
      <c r="K21" s="275">
        <f>IF($F21&lt;&gt;"",ENGINE7!$D$44,0)</f>
        <v>0</v>
      </c>
      <c r="L21" s="275">
        <f>IF($F21&lt;&gt;"",ENGINE7!$B$45,0)</f>
        <v>0</v>
      </c>
      <c r="M21" s="275">
        <f>IF($F21&lt;&gt;"",ENGINE7!$D$45,0)</f>
        <v>0</v>
      </c>
      <c r="N21" s="275">
        <f>IF($F21&lt;&gt;"",ENGINE7!$B$46,0)</f>
        <v>0</v>
      </c>
      <c r="O21" s="275">
        <f>IF($F21&lt;&gt;"",ENGINE7!$D$46,0)</f>
        <v>0</v>
      </c>
      <c r="P21" s="275">
        <f>IF($F21&lt;&gt;"",ENGINE7!$B$47,0)</f>
        <v>0</v>
      </c>
      <c r="Q21" s="275">
        <f>IF($F21&lt;&gt;"",ENGINE7!$D$47,0)</f>
        <v>0</v>
      </c>
      <c r="R21" s="275">
        <f>IF($F21&lt;&gt;"",ENGINE7!$B$48,0)</f>
        <v>0</v>
      </c>
      <c r="S21" s="275">
        <f>IF($F21&lt;&gt;"",ENGINE7!$D$48,0)</f>
        <v>0</v>
      </c>
      <c r="T21" s="275">
        <f>IF($F21&lt;&gt;"",ENGINE7!$B$49,0)</f>
        <v>0</v>
      </c>
      <c r="U21" s="275">
        <f>IF($F21&lt;&gt;"",ENGINE7!$D$49,0)</f>
        <v>0</v>
      </c>
      <c r="V21" s="275">
        <f>IF($F21&lt;&gt;"",ENGINE7!$B$50,0)</f>
        <v>0</v>
      </c>
      <c r="W21" s="275">
        <f>IF($F21&lt;&gt;"",ENGINE7!$D$50,0)</f>
        <v>0</v>
      </c>
      <c r="X21" s="275">
        <f>IF($F21&lt;&gt;"",ENGINE7!$B$51,0)</f>
        <v>0</v>
      </c>
      <c r="Y21" s="276">
        <f>IF($F21&lt;&gt;"",ENGINE7!$D$51,0)</f>
        <v>0</v>
      </c>
      <c r="Z21" s="34" t="s">
        <v>405</v>
      </c>
      <c r="AA21" s="614" t="b">
        <f>NOT(AND(ISBLANK(ENGINE5!$B$6),'PI-1-PowerEngine'!$B$78&lt;Reference!$AO21))</f>
        <v>0</v>
      </c>
      <c r="AB21" s="617" t="b">
        <f t="shared" ref="AB21:AN21" si="10">AA21</f>
        <v>0</v>
      </c>
      <c r="AC21" s="617" t="b">
        <f t="shared" si="10"/>
        <v>0</v>
      </c>
      <c r="AD21" s="617" t="b">
        <f t="shared" si="10"/>
        <v>0</v>
      </c>
      <c r="AE21" s="617" t="b">
        <f t="shared" si="10"/>
        <v>0</v>
      </c>
      <c r="AF21" s="617" t="b">
        <f t="shared" si="10"/>
        <v>0</v>
      </c>
      <c r="AG21" s="617" t="b">
        <f t="shared" si="10"/>
        <v>0</v>
      </c>
      <c r="AH21" s="617" t="b">
        <f t="shared" si="10"/>
        <v>0</v>
      </c>
      <c r="AI21" s="617" t="b">
        <f t="shared" si="10"/>
        <v>0</v>
      </c>
      <c r="AJ21" s="617" t="b">
        <f t="shared" si="10"/>
        <v>0</v>
      </c>
      <c r="AK21" s="617" t="b">
        <f t="shared" si="10"/>
        <v>0</v>
      </c>
      <c r="AL21" s="617" t="b">
        <f t="shared" si="10"/>
        <v>0</v>
      </c>
      <c r="AM21" s="617" t="b">
        <f t="shared" si="10"/>
        <v>0</v>
      </c>
      <c r="AN21" s="618" t="b">
        <f t="shared" si="10"/>
        <v>0</v>
      </c>
      <c r="AO21" s="613">
        <v>5</v>
      </c>
      <c r="AR21" s="454">
        <v>8</v>
      </c>
      <c r="AT21">
        <f>IF(OR(AU21=0,ISNUMBER(MATCH(AU21,$AU$13:AU20,0))),0,MAX($AT$13:AT20)+1)</f>
        <v>0</v>
      </c>
      <c r="AU21">
        <f>IF($AS$14&gt;=$AR21,ENGINE8!$B$6,0)</f>
        <v>0</v>
      </c>
      <c r="AV21" t="str">
        <f t="shared" si="3"/>
        <v/>
      </c>
      <c r="AX21">
        <f>IF(OR(AY21=0,ISNUMBER(MATCH(AY21,$AY$13:AY20,0))),0,MAX($AX$13:AX20)+1)</f>
        <v>0</v>
      </c>
      <c r="AY21">
        <f>IF($AW$14&gt;=$AR21,Tanks!$B$119,0)</f>
        <v>0</v>
      </c>
      <c r="AZ21" s="455" t="str">
        <f t="shared" si="4"/>
        <v/>
      </c>
    </row>
    <row r="22" spans="1:52" ht="15" x14ac:dyDescent="0.25">
      <c r="A22" s="46" t="s">
        <v>406</v>
      </c>
      <c r="B22">
        <v>100</v>
      </c>
      <c r="C22">
        <v>249</v>
      </c>
      <c r="D22">
        <v>249</v>
      </c>
      <c r="E22" s="18">
        <f>IF(F22="",0,MAX($E$15:E21)+1)</f>
        <v>0</v>
      </c>
      <c r="F22" s="19" t="str">
        <f>IF(ISBLANK(ENGINE8!B6),"",ENGINE8!B6)</f>
        <v/>
      </c>
      <c r="G22" s="19" t="str">
        <f>IF(ENGINE8!$B$7="","",ENGINE8!$B$7)</f>
        <v/>
      </c>
      <c r="H22" s="275">
        <f>IF($F22&lt;&gt;"",ENGINE8!$B$43,0)</f>
        <v>0</v>
      </c>
      <c r="I22" s="275">
        <f>IF($F22&lt;&gt;"",ENGINE8!$D$43,0)</f>
        <v>0</v>
      </c>
      <c r="J22" s="275">
        <f>IF($F22&lt;&gt;"",ENGINE8!$B$44,0)</f>
        <v>0</v>
      </c>
      <c r="K22" s="275">
        <f>IF($F22&lt;&gt;"",ENGINE8!$D$44,0)</f>
        <v>0</v>
      </c>
      <c r="L22" s="275">
        <f>IF($F22&lt;&gt;"",ENGINE8!$B$45,0)</f>
        <v>0</v>
      </c>
      <c r="M22" s="275">
        <f>IF($F22&lt;&gt;"",ENGINE8!$D$45,0)</f>
        <v>0</v>
      </c>
      <c r="N22" s="275">
        <f>IF($F22&lt;&gt;"",ENGINE8!$B$46,0)</f>
        <v>0</v>
      </c>
      <c r="O22" s="275">
        <f>IF($F22&lt;&gt;"",ENGINE8!$D$46,0)</f>
        <v>0</v>
      </c>
      <c r="P22" s="275">
        <f>IF($F22&lt;&gt;"",ENGINE8!$B$47,0)</f>
        <v>0</v>
      </c>
      <c r="Q22" s="275">
        <f>IF($F22&lt;&gt;"",ENGINE8!$D$47,0)</f>
        <v>0</v>
      </c>
      <c r="R22" s="275">
        <f>IF($F22&lt;&gt;"",ENGINE8!$B$48,0)</f>
        <v>0</v>
      </c>
      <c r="S22" s="275">
        <f>IF($F22&lt;&gt;"",ENGINE8!$D$48,0)</f>
        <v>0</v>
      </c>
      <c r="T22" s="275">
        <f>IF($F22&lt;&gt;"",ENGINE8!$B$49,0)</f>
        <v>0</v>
      </c>
      <c r="U22" s="275">
        <f>IF($F22&lt;&gt;"",ENGINE8!$D$49,0)</f>
        <v>0</v>
      </c>
      <c r="V22" s="275">
        <f>IF($F22&lt;&gt;"",ENGINE8!$B$50,0)</f>
        <v>0</v>
      </c>
      <c r="W22" s="275">
        <f>IF($F22&lt;&gt;"",ENGINE8!$D$50,0)</f>
        <v>0</v>
      </c>
      <c r="X22" s="275">
        <f>IF($F22&lt;&gt;"",ENGINE8!$B$51,0)</f>
        <v>0</v>
      </c>
      <c r="Y22" s="276">
        <f>IF($F22&lt;&gt;"",ENGINE8!$D$51,0)</f>
        <v>0</v>
      </c>
      <c r="Z22" s="34" t="s">
        <v>407</v>
      </c>
      <c r="AA22" s="614" t="b">
        <f>NOT(AND(ISBLANK(ENGINE6!$B$6),'PI-1-PowerEngine'!$B$78&lt;Reference!$AO22))</f>
        <v>0</v>
      </c>
      <c r="AB22" s="617" t="b">
        <f t="shared" ref="AB22:AN22" si="11">AA22</f>
        <v>0</v>
      </c>
      <c r="AC22" s="617" t="b">
        <f t="shared" si="11"/>
        <v>0</v>
      </c>
      <c r="AD22" s="617" t="b">
        <f t="shared" si="11"/>
        <v>0</v>
      </c>
      <c r="AE22" s="617" t="b">
        <f t="shared" si="11"/>
        <v>0</v>
      </c>
      <c r="AF22" s="617" t="b">
        <f t="shared" si="11"/>
        <v>0</v>
      </c>
      <c r="AG22" s="617" t="b">
        <f t="shared" si="11"/>
        <v>0</v>
      </c>
      <c r="AH22" s="617" t="b">
        <f t="shared" si="11"/>
        <v>0</v>
      </c>
      <c r="AI22" s="617" t="b">
        <f t="shared" si="11"/>
        <v>0</v>
      </c>
      <c r="AJ22" s="617" t="b">
        <f t="shared" si="11"/>
        <v>0</v>
      </c>
      <c r="AK22" s="617" t="b">
        <f t="shared" si="11"/>
        <v>0</v>
      </c>
      <c r="AL22" s="617" t="b">
        <f t="shared" si="11"/>
        <v>0</v>
      </c>
      <c r="AM22" s="617" t="b">
        <f t="shared" si="11"/>
        <v>0</v>
      </c>
      <c r="AN22" s="618" t="b">
        <f t="shared" si="11"/>
        <v>0</v>
      </c>
      <c r="AO22" s="613">
        <v>6</v>
      </c>
      <c r="AR22" s="454">
        <v>9</v>
      </c>
      <c r="AT22">
        <f>IF(OR(AU22=0,ISNUMBER(MATCH(AU22,$AU$13:AU21,0))),0,MAX($AT$13:AT21)+1)</f>
        <v>0</v>
      </c>
      <c r="AU22">
        <f>IF($AS$14&gt;=$AR22,ENGINE9!$B$6,0)</f>
        <v>0</v>
      </c>
      <c r="AV22" t="str">
        <f t="shared" si="3"/>
        <v/>
      </c>
      <c r="AX22">
        <f>IF(OR(AY22=0,ISNUMBER(MATCH(AY22,$AY$13:AY21,0))),0,MAX($AX$13:AX21)+1)</f>
        <v>0</v>
      </c>
      <c r="AY22">
        <f>IF($AW$14&gt;=$AR22,Tanks!$B$133,0)</f>
        <v>0</v>
      </c>
      <c r="AZ22" s="455" t="str">
        <f t="shared" si="4"/>
        <v/>
      </c>
    </row>
    <row r="23" spans="1:52" ht="15.75" customHeight="1" x14ac:dyDescent="0.25">
      <c r="A23" s="8" t="s">
        <v>408</v>
      </c>
      <c r="B23">
        <v>100</v>
      </c>
      <c r="C23">
        <v>249</v>
      </c>
      <c r="D23">
        <v>249</v>
      </c>
      <c r="E23" s="18">
        <f>IF(F23="",0,MAX($E$15:E22)+1)</f>
        <v>0</v>
      </c>
      <c r="F23" s="19" t="str">
        <f>IF(ISBLANK(ENGINE9!B6),"",ENGINE9!B6)</f>
        <v/>
      </c>
      <c r="G23" s="19" t="str">
        <f>IF(ENGINE9!$B$7="","",ENGINE9!$B$7)</f>
        <v/>
      </c>
      <c r="H23" s="275">
        <f>IF($F23&lt;&gt;"",ENGINE9!$B$43,0)</f>
        <v>0</v>
      </c>
      <c r="I23" s="275">
        <f>IF($F23&lt;&gt;"",ENGINE9!$D$43,0)</f>
        <v>0</v>
      </c>
      <c r="J23" s="275">
        <f>IF($F23&lt;&gt;"",ENGINE9!$B$44,0)</f>
        <v>0</v>
      </c>
      <c r="K23" s="275">
        <f>IF($F23&lt;&gt;"",ENGINE9!$D$44,0)</f>
        <v>0</v>
      </c>
      <c r="L23" s="275">
        <f>IF($F23&lt;&gt;"",ENGINE9!$B$45,0)</f>
        <v>0</v>
      </c>
      <c r="M23" s="275">
        <f>IF($F23&lt;&gt;"",ENGINE9!$D$45,0)</f>
        <v>0</v>
      </c>
      <c r="N23" s="275">
        <f>IF($F23&lt;&gt;"",ENGINE9!$B$46,0)</f>
        <v>0</v>
      </c>
      <c r="O23" s="275">
        <f>IF($F23&lt;&gt;"",ENGINE9!$D$46,0)</f>
        <v>0</v>
      </c>
      <c r="P23" s="275">
        <f>IF($F23&lt;&gt;"",ENGINE9!$B$47,0)</f>
        <v>0</v>
      </c>
      <c r="Q23" s="275">
        <f>IF($F23&lt;&gt;"",ENGINE9!$D$47,0)</f>
        <v>0</v>
      </c>
      <c r="R23" s="275">
        <f>IF($F23&lt;&gt;"",ENGINE9!$B$48,0)</f>
        <v>0</v>
      </c>
      <c r="S23" s="275">
        <f>IF($F23&lt;&gt;"",ENGINE9!$D$48,0)</f>
        <v>0</v>
      </c>
      <c r="T23" s="275">
        <f>IF($F23&lt;&gt;"",ENGINE9!$B$49,0)</f>
        <v>0</v>
      </c>
      <c r="U23" s="275">
        <f>IF($F23&lt;&gt;"",ENGINE9!$D$49,0)</f>
        <v>0</v>
      </c>
      <c r="V23" s="275">
        <f>IF($F23&lt;&gt;"",ENGINE9!$B$50,0)</f>
        <v>0</v>
      </c>
      <c r="W23" s="275">
        <f>IF($F23&lt;&gt;"",ENGINE9!$D$50,0)</f>
        <v>0</v>
      </c>
      <c r="X23" s="275">
        <f>IF($F23&lt;&gt;"",ENGINE9!$B$51,0)</f>
        <v>0</v>
      </c>
      <c r="Y23" s="276">
        <f>IF($F23&lt;&gt;"",ENGINE9!$D$51,0)</f>
        <v>0</v>
      </c>
      <c r="Z23" s="34" t="s">
        <v>409</v>
      </c>
      <c r="AA23" s="614" t="b">
        <f>NOT(AND(ISBLANK(ENGINE7!$B$6),'PI-1-PowerEngine'!$B$78&lt;Reference!$AO23))</f>
        <v>0</v>
      </c>
      <c r="AB23" s="617" t="b">
        <f t="shared" ref="AB23:AN23" si="12">AA23</f>
        <v>0</v>
      </c>
      <c r="AC23" s="617" t="b">
        <f t="shared" si="12"/>
        <v>0</v>
      </c>
      <c r="AD23" s="617" t="b">
        <f t="shared" si="12"/>
        <v>0</v>
      </c>
      <c r="AE23" s="617" t="b">
        <f t="shared" si="12"/>
        <v>0</v>
      </c>
      <c r="AF23" s="617" t="b">
        <f t="shared" si="12"/>
        <v>0</v>
      </c>
      <c r="AG23" s="617" t="b">
        <f t="shared" si="12"/>
        <v>0</v>
      </c>
      <c r="AH23" s="617" t="b">
        <f t="shared" si="12"/>
        <v>0</v>
      </c>
      <c r="AI23" s="617" t="b">
        <f t="shared" si="12"/>
        <v>0</v>
      </c>
      <c r="AJ23" s="617" t="b">
        <f t="shared" si="12"/>
        <v>0</v>
      </c>
      <c r="AK23" s="617" t="b">
        <f t="shared" si="12"/>
        <v>0</v>
      </c>
      <c r="AL23" s="617" t="b">
        <f t="shared" si="12"/>
        <v>0</v>
      </c>
      <c r="AM23" s="617" t="b">
        <f t="shared" si="12"/>
        <v>0</v>
      </c>
      <c r="AN23" s="618" t="b">
        <f t="shared" si="12"/>
        <v>0</v>
      </c>
      <c r="AO23" s="613">
        <v>7</v>
      </c>
      <c r="AR23" s="456">
        <v>10</v>
      </c>
      <c r="AS23" s="457"/>
      <c r="AT23" s="457">
        <f>IF(OR(AU23=0,ISNUMBER(MATCH(AU23,$AU$13:AU22,0))),0,MAX($AT$13:AT22)+1)</f>
        <v>0</v>
      </c>
      <c r="AU23">
        <f>IF($AS$14&gt;=$AR23,ENGINE10!$B$6,0)</f>
        <v>0</v>
      </c>
      <c r="AV23" t="str">
        <f t="shared" si="3"/>
        <v/>
      </c>
      <c r="AW23" s="457"/>
      <c r="AX23" s="457">
        <f>IF(OR(AY23=0,ISNUMBER(MATCH(AY23,$AY$13:AY22,0))),0,MAX($AX$13:AX22)+1)</f>
        <v>0</v>
      </c>
      <c r="AY23" s="457">
        <f>IF($AW$14&gt;=$AR23,Tanks!$B$147,0)</f>
        <v>0</v>
      </c>
      <c r="AZ23" s="458" t="str">
        <f t="shared" si="4"/>
        <v/>
      </c>
    </row>
    <row r="24" spans="1:52" ht="15.75" customHeight="1" x14ac:dyDescent="0.25">
      <c r="A24" s="8" t="s">
        <v>410</v>
      </c>
      <c r="B24">
        <v>100</v>
      </c>
      <c r="C24">
        <v>249</v>
      </c>
      <c r="D24">
        <v>249</v>
      </c>
      <c r="E24" s="20">
        <f>IF(F24="",0,MAX($E$15:E23)+1)</f>
        <v>0</v>
      </c>
      <c r="F24" s="21" t="str">
        <f>IF(ISBLANK(ENGINE10!B6),"",ENGINE10!B6)</f>
        <v/>
      </c>
      <c r="G24" s="21" t="str">
        <f>IF(ENGINE10!$B$7="","",ENGINE10!$B$7)</f>
        <v/>
      </c>
      <c r="H24" s="277">
        <f>IF($F24&lt;&gt;"",ENGINE10!$B$43,0)</f>
        <v>0</v>
      </c>
      <c r="I24" s="277">
        <f>IF($F24&lt;&gt;"",ENGINE10!$D$43,0)</f>
        <v>0</v>
      </c>
      <c r="J24" s="277">
        <f>IF($F24&lt;&gt;"",ENGINE10!$B$44,0)</f>
        <v>0</v>
      </c>
      <c r="K24" s="277">
        <f>IF($F24&lt;&gt;"",ENGINE10!$D$44,0)</f>
        <v>0</v>
      </c>
      <c r="L24" s="277">
        <f>IF($F24&lt;&gt;"",ENGINE10!$B$45,0)</f>
        <v>0</v>
      </c>
      <c r="M24" s="277">
        <f>IF($F24&lt;&gt;"",ENGINE10!$D$45,0)</f>
        <v>0</v>
      </c>
      <c r="N24" s="277">
        <f>IF($F24&lt;&gt;"",ENGINE10!$B$46,0)</f>
        <v>0</v>
      </c>
      <c r="O24" s="277">
        <f>IF($F24&lt;&gt;"",ENGINE10!$D$46,0)</f>
        <v>0</v>
      </c>
      <c r="P24" s="277">
        <f>IF($F24&lt;&gt;"",ENGINE10!$B$47,0)</f>
        <v>0</v>
      </c>
      <c r="Q24" s="277">
        <f>IF($F24&lt;&gt;"",ENGINE10!$D$47,0)</f>
        <v>0</v>
      </c>
      <c r="R24" s="277">
        <f>IF($F24&lt;&gt;"",ENGINE10!$B$48,0)</f>
        <v>0</v>
      </c>
      <c r="S24" s="277">
        <f>IF($F24&lt;&gt;"",ENGINE10!$D$48,0)</f>
        <v>0</v>
      </c>
      <c r="T24" s="277">
        <f>IF($F24&lt;&gt;"",ENGINE10!$B$49,0)</f>
        <v>0</v>
      </c>
      <c r="U24" s="277">
        <f>IF($F24&lt;&gt;"",ENGINE10!$D$49,0)</f>
        <v>0</v>
      </c>
      <c r="V24" s="277">
        <f>IF($F24&lt;&gt;"",ENGINE10!$B$50,0)</f>
        <v>0</v>
      </c>
      <c r="W24" s="277">
        <f>IF($F24&lt;&gt;"",ENGINE10!$D$50,0)</f>
        <v>0</v>
      </c>
      <c r="X24" s="277">
        <f>IF($F24&lt;&gt;"",ENGINE10!$B$51,0)</f>
        <v>0</v>
      </c>
      <c r="Y24" s="278">
        <f>IF($F24&lt;&gt;"",ENGINE10!$D$51,0)</f>
        <v>0</v>
      </c>
      <c r="Z24" s="34" t="s">
        <v>411</v>
      </c>
      <c r="AA24" s="614" t="b">
        <f>NOT(AND(ISBLANK(ENGINE8!$B$6),'PI-1-PowerEngine'!$B$78&lt;Reference!$AO24))</f>
        <v>0</v>
      </c>
      <c r="AB24" s="617" t="b">
        <f t="shared" ref="AB24:AN24" si="13">AA24</f>
        <v>0</v>
      </c>
      <c r="AC24" s="617" t="b">
        <f t="shared" si="13"/>
        <v>0</v>
      </c>
      <c r="AD24" s="617" t="b">
        <f t="shared" si="13"/>
        <v>0</v>
      </c>
      <c r="AE24" s="617" t="b">
        <f t="shared" si="13"/>
        <v>0</v>
      </c>
      <c r="AF24" s="617" t="b">
        <f t="shared" si="13"/>
        <v>0</v>
      </c>
      <c r="AG24" s="617" t="b">
        <f t="shared" si="13"/>
        <v>0</v>
      </c>
      <c r="AH24" s="617" t="b">
        <f t="shared" si="13"/>
        <v>0</v>
      </c>
      <c r="AI24" s="617" t="b">
        <f t="shared" si="13"/>
        <v>0</v>
      </c>
      <c r="AJ24" s="617" t="b">
        <f t="shared" si="13"/>
        <v>0</v>
      </c>
      <c r="AK24" s="617" t="b">
        <f t="shared" si="13"/>
        <v>0</v>
      </c>
      <c r="AL24" s="617" t="b">
        <f t="shared" si="13"/>
        <v>0</v>
      </c>
      <c r="AM24" s="617" t="b">
        <f t="shared" si="13"/>
        <v>0</v>
      </c>
      <c r="AN24" s="618" t="b">
        <f t="shared" si="13"/>
        <v>0</v>
      </c>
      <c r="AO24" s="613">
        <v>8</v>
      </c>
      <c r="AU24" s="462" t="s">
        <v>412</v>
      </c>
      <c r="AV24" s="463" t="str">
        <f>AV14&amp;IF(AV15="","",", "&amp;AV15)&amp;IF(AV16="","",", "&amp;AV16)&amp;IF(AV17="","",", "&amp;AV17)&amp;IF(AV18="","",", "&amp;AV18)&amp;IF(AV19="","",", "&amp;AV19)&amp;IF(AV20="","",", "&amp;AV20)&amp;IF(AV21="","",", "&amp;AV21)&amp;IF(AV22="","",", "&amp;AV22)&amp;IF(AV23="","",", "&amp;AV23)</f>
        <v/>
      </c>
      <c r="AY24" s="462" t="s">
        <v>413</v>
      </c>
      <c r="AZ24" s="463" t="str">
        <f>AZ14&amp;IF(AZ15="","",", "&amp;AZ15)&amp;IF(AZ16="","",", "&amp;AZ16)&amp;IF(AZ17="","",", "&amp;AZ17)&amp;IF(AZ18="","",", "&amp;AZ18)&amp;IF(AZ19="","",", "&amp;AZ19)&amp;IF(AZ20="","",", "&amp;AZ20)&amp;IF(AZ21="","",", "&amp;AZ21)&amp;IF(AZ22="","",", "&amp;AZ22)&amp;IF(AZ23="","",", "&amp;AZ23)</f>
        <v/>
      </c>
    </row>
    <row r="25" spans="1:52" ht="15.75" customHeight="1" x14ac:dyDescent="0.25">
      <c r="A25" s="8" t="s">
        <v>414</v>
      </c>
      <c r="B25">
        <v>100</v>
      </c>
      <c r="C25">
        <v>249</v>
      </c>
      <c r="D25">
        <v>249</v>
      </c>
      <c r="E25" s="20"/>
      <c r="F25" s="21" t="s">
        <v>415</v>
      </c>
      <c r="G25" s="21"/>
      <c r="H25" s="25"/>
      <c r="I25" s="22"/>
      <c r="J25" s="25"/>
      <c r="K25" s="25"/>
      <c r="L25" s="25"/>
      <c r="M25" s="25"/>
      <c r="N25" s="25"/>
      <c r="O25" s="25"/>
      <c r="P25" s="25"/>
      <c r="Q25" s="27"/>
      <c r="R25" s="26" t="str">
        <f>IF('PI-1-PowerEngine'!B79&gt;0,Tanks!B14,"")</f>
        <v/>
      </c>
      <c r="S25" s="26" t="str">
        <f>IF('PI-1-PowerEngine'!B79&gt;0,Tanks!B15,"")</f>
        <v/>
      </c>
      <c r="T25" s="25"/>
      <c r="U25" s="25"/>
      <c r="V25" s="25"/>
      <c r="W25" s="25"/>
      <c r="X25" s="25"/>
      <c r="Y25" s="27"/>
      <c r="Z25" s="34" t="s">
        <v>416</v>
      </c>
      <c r="AA25" s="614" t="b">
        <f>NOT(AND(ISBLANK(ENGINE9!$B$6),'PI-1-PowerEngine'!$B$78&lt;Reference!$AO25))</f>
        <v>0</v>
      </c>
      <c r="AB25" s="617" t="b">
        <f t="shared" ref="AB25:AN25" si="14">AA25</f>
        <v>0</v>
      </c>
      <c r="AC25" s="617" t="b">
        <f t="shared" si="14"/>
        <v>0</v>
      </c>
      <c r="AD25" s="617" t="b">
        <f t="shared" si="14"/>
        <v>0</v>
      </c>
      <c r="AE25" s="617" t="b">
        <f t="shared" si="14"/>
        <v>0</v>
      </c>
      <c r="AF25" s="617" t="b">
        <f t="shared" si="14"/>
        <v>0</v>
      </c>
      <c r="AG25" s="617" t="b">
        <f t="shared" si="14"/>
        <v>0</v>
      </c>
      <c r="AH25" s="617" t="b">
        <f t="shared" si="14"/>
        <v>0</v>
      </c>
      <c r="AI25" s="617" t="b">
        <f t="shared" si="14"/>
        <v>0</v>
      </c>
      <c r="AJ25" s="617" t="b">
        <f t="shared" si="14"/>
        <v>0</v>
      </c>
      <c r="AK25" s="617" t="b">
        <f t="shared" si="14"/>
        <v>0</v>
      </c>
      <c r="AL25" s="617" t="b">
        <f t="shared" si="14"/>
        <v>0</v>
      </c>
      <c r="AM25" s="617" t="b">
        <f t="shared" si="14"/>
        <v>0</v>
      </c>
      <c r="AN25" s="618" t="b">
        <f t="shared" si="14"/>
        <v>0</v>
      </c>
      <c r="AO25" s="613">
        <v>9</v>
      </c>
    </row>
    <row r="26" spans="1:52" ht="15.75" customHeight="1" x14ac:dyDescent="0.2">
      <c r="A26" s="8" t="s">
        <v>417</v>
      </c>
      <c r="B26" s="272">
        <f>SUM(I$15:I$35)-I37</f>
        <v>0</v>
      </c>
      <c r="C26">
        <v>249</v>
      </c>
      <c r="D26">
        <v>249</v>
      </c>
      <c r="E26" s="16"/>
      <c r="F26" s="17"/>
      <c r="G26" s="17" t="s">
        <v>418</v>
      </c>
      <c r="H26" s="273">
        <f t="shared" ref="H26:X26" si="15">H25+H14</f>
        <v>0</v>
      </c>
      <c r="I26" s="273">
        <f t="shared" si="15"/>
        <v>0</v>
      </c>
      <c r="J26" s="273">
        <f t="shared" si="15"/>
        <v>0</v>
      </c>
      <c r="K26" s="273">
        <f t="shared" si="15"/>
        <v>0</v>
      </c>
      <c r="L26" s="273">
        <f t="shared" si="15"/>
        <v>0</v>
      </c>
      <c r="M26" s="273">
        <f t="shared" si="15"/>
        <v>0</v>
      </c>
      <c r="N26" s="273">
        <f t="shared" si="15"/>
        <v>0</v>
      </c>
      <c r="O26" s="273">
        <f t="shared" si="15"/>
        <v>0</v>
      </c>
      <c r="P26" s="273">
        <f t="shared" si="15"/>
        <v>0</v>
      </c>
      <c r="Q26" s="273">
        <f t="shared" si="15"/>
        <v>0</v>
      </c>
      <c r="R26" s="273" t="e">
        <f t="shared" si="15"/>
        <v>#VALUE!</v>
      </c>
      <c r="S26" s="273" t="e">
        <f t="shared" si="15"/>
        <v>#VALUE!</v>
      </c>
      <c r="T26" s="273">
        <f t="shared" si="15"/>
        <v>0</v>
      </c>
      <c r="U26" s="273">
        <f t="shared" si="15"/>
        <v>0</v>
      </c>
      <c r="V26" s="273">
        <f t="shared" si="15"/>
        <v>0</v>
      </c>
      <c r="W26" s="273">
        <f t="shared" si="15"/>
        <v>0</v>
      </c>
      <c r="X26" s="273">
        <f t="shared" si="15"/>
        <v>0</v>
      </c>
      <c r="Y26" s="273">
        <f t="shared" ref="Y26" si="16">Y25+Y14</f>
        <v>0</v>
      </c>
      <c r="Z26" s="34" t="s">
        <v>419</v>
      </c>
      <c r="AA26" s="33" t="b">
        <f>NOT(AND(ISBLANK(ENGINE10!$B$6),'PI-1-PowerEngine'!$B$78&lt;Reference!$AO26))</f>
        <v>0</v>
      </c>
      <c r="AB26" s="35" t="b">
        <f t="shared" ref="AB26:AN26" si="17">AA26</f>
        <v>0</v>
      </c>
      <c r="AC26" s="35" t="b">
        <f t="shared" si="17"/>
        <v>0</v>
      </c>
      <c r="AD26" s="35" t="b">
        <f t="shared" si="17"/>
        <v>0</v>
      </c>
      <c r="AE26" s="35" t="b">
        <f t="shared" si="17"/>
        <v>0</v>
      </c>
      <c r="AF26" s="35" t="b">
        <f t="shared" si="17"/>
        <v>0</v>
      </c>
      <c r="AG26" s="35" t="b">
        <f t="shared" si="17"/>
        <v>0</v>
      </c>
      <c r="AH26" s="35" t="b">
        <f t="shared" si="17"/>
        <v>0</v>
      </c>
      <c r="AI26" s="35" t="b">
        <f t="shared" si="17"/>
        <v>0</v>
      </c>
      <c r="AJ26" s="35" t="b">
        <f t="shared" si="17"/>
        <v>0</v>
      </c>
      <c r="AK26" s="35" t="b">
        <f t="shared" si="17"/>
        <v>0</v>
      </c>
      <c r="AL26" s="35" t="b">
        <f t="shared" si="17"/>
        <v>0</v>
      </c>
      <c r="AM26" s="35" t="b">
        <f t="shared" si="17"/>
        <v>0</v>
      </c>
      <c r="AN26" s="36" t="b">
        <f t="shared" si="17"/>
        <v>0</v>
      </c>
      <c r="AO26" s="613">
        <v>10</v>
      </c>
    </row>
    <row r="27" spans="1:52" ht="15.75" customHeight="1" x14ac:dyDescent="0.2">
      <c r="A27" s="8" t="s">
        <v>420</v>
      </c>
      <c r="B27">
        <v>100</v>
      </c>
      <c r="C27">
        <v>249</v>
      </c>
      <c r="D27">
        <v>249</v>
      </c>
      <c r="E27" s="18"/>
      <c r="F27" s="19"/>
      <c r="G27" s="19"/>
      <c r="H27" s="22"/>
      <c r="I27" s="22"/>
      <c r="J27" s="22"/>
      <c r="K27" s="22"/>
      <c r="L27" s="22"/>
      <c r="M27" s="22"/>
      <c r="N27" s="22"/>
      <c r="O27" s="22"/>
      <c r="P27" s="22"/>
      <c r="Q27" s="24"/>
      <c r="R27" s="23"/>
      <c r="S27" s="24"/>
      <c r="T27" s="22"/>
      <c r="U27" s="22"/>
      <c r="V27" s="22"/>
      <c r="W27" s="22"/>
      <c r="X27" s="22"/>
      <c r="Y27" s="24"/>
      <c r="Z27" s="37" t="s">
        <v>421</v>
      </c>
      <c r="AA27" s="38" t="b">
        <f>AND(Tanks!$B$11&gt;0,Tanks!$B$11&lt;&gt;"")</f>
        <v>0</v>
      </c>
      <c r="AB27" s="39" t="b">
        <f>AND(Tanks!$B$11&gt;0,Tanks!$B$11&lt;&gt;"")</f>
        <v>0</v>
      </c>
      <c r="AC27" s="39" t="b">
        <f>AND(Tanks!$B$11&gt;0,Tanks!$B$11&lt;&gt;"")</f>
        <v>0</v>
      </c>
      <c r="AD27" s="39" t="b">
        <f>AND(Tanks!$B$11&gt;0,Tanks!$B$11&lt;&gt;"")</f>
        <v>0</v>
      </c>
      <c r="AE27" s="39" t="b">
        <f>AND(Tanks!$B$11&gt;0,Tanks!$B$11&lt;&gt;"")</f>
        <v>0</v>
      </c>
      <c r="AF27" s="39" t="b">
        <f>AND(Tanks!$B$11&gt;0,Tanks!$B$11&lt;&gt;"")</f>
        <v>0</v>
      </c>
      <c r="AG27" s="39" t="b">
        <f>AND(Tanks!$B$11&gt;0,Tanks!$B$11&lt;&gt;"")</f>
        <v>0</v>
      </c>
      <c r="AH27" s="39" t="b">
        <f>AND(Tanks!$B$11&gt;0,Tanks!$B$11&lt;&gt;"")</f>
        <v>0</v>
      </c>
      <c r="AI27" s="39" t="b">
        <f>AND(Tanks!$B$11&gt;0,Tanks!$B$11&lt;&gt;"")</f>
        <v>0</v>
      </c>
      <c r="AJ27" s="39" t="b">
        <f>AND(Tanks!$B$11&gt;0,Tanks!$B$11&lt;&gt;"")</f>
        <v>0</v>
      </c>
      <c r="AK27" s="39" t="b">
        <f>AND(Tanks!$B$11&gt;0,Tanks!$B$11&lt;&gt;"")</f>
        <v>0</v>
      </c>
      <c r="AL27" s="39" t="b">
        <f>AND(Tanks!$B$11&gt;0,Tanks!$B$11&lt;&gt;"")</f>
        <v>0</v>
      </c>
      <c r="AM27" s="39" t="b">
        <f>AND(Tanks!$B$11&gt;0,Tanks!$B$11&lt;&gt;"")</f>
        <v>0</v>
      </c>
      <c r="AN27" s="40" t="b">
        <f>AND(Tanks!$B$11&gt;0,Tanks!$B$11&lt;&gt;"")</f>
        <v>0</v>
      </c>
      <c r="AO27" s="613"/>
    </row>
    <row r="28" spans="1:52" ht="15.75" customHeight="1" x14ac:dyDescent="0.2">
      <c r="A28" s="8" t="s">
        <v>422</v>
      </c>
      <c r="B28">
        <v>100</v>
      </c>
      <c r="C28">
        <v>249</v>
      </c>
      <c r="D28">
        <v>249</v>
      </c>
      <c r="E28" s="18"/>
      <c r="F28" s="19"/>
      <c r="G28" s="19"/>
      <c r="H28" s="22"/>
      <c r="I28" s="22"/>
      <c r="J28" s="22"/>
      <c r="K28" s="22"/>
      <c r="L28" s="22"/>
      <c r="M28" s="22"/>
      <c r="N28" s="22"/>
      <c r="O28" s="22"/>
      <c r="P28" s="22"/>
      <c r="Q28" s="24"/>
      <c r="R28" s="23"/>
      <c r="S28" s="24"/>
      <c r="T28" s="22"/>
      <c r="U28" s="22"/>
      <c r="V28" s="22"/>
      <c r="W28" s="22"/>
      <c r="X28" s="22"/>
      <c r="Y28" s="24"/>
    </row>
    <row r="29" spans="1:52" ht="15.75" customHeight="1" x14ac:dyDescent="0.2">
      <c r="A29" s="8" t="s">
        <v>423</v>
      </c>
      <c r="B29">
        <v>100</v>
      </c>
      <c r="C29">
        <v>249</v>
      </c>
      <c r="D29">
        <v>249</v>
      </c>
      <c r="E29" s="18"/>
      <c r="F29" s="19"/>
      <c r="G29" s="19"/>
      <c r="H29" s="22"/>
      <c r="I29" s="22"/>
      <c r="J29" s="22"/>
      <c r="K29" s="22"/>
      <c r="L29" s="22"/>
      <c r="M29" s="22"/>
      <c r="N29" s="22"/>
      <c r="O29" s="22"/>
      <c r="P29" s="22"/>
      <c r="Q29" s="24"/>
      <c r="R29" s="23"/>
      <c r="S29" s="24"/>
      <c r="T29" s="22"/>
      <c r="U29" s="22"/>
      <c r="V29" s="22"/>
      <c r="W29" s="22"/>
      <c r="X29" s="22"/>
      <c r="Y29" s="24"/>
      <c r="Z29" s="649" t="s">
        <v>1035</v>
      </c>
      <c r="AA29" t="b">
        <f>'PI-1-PowerEngine'!$B$78&gt;=Reference!$AO26</f>
        <v>0</v>
      </c>
    </row>
    <row r="30" spans="1:52" ht="15.75" customHeight="1" x14ac:dyDescent="0.2">
      <c r="A30" s="8" t="s">
        <v>424</v>
      </c>
      <c r="B30">
        <v>100</v>
      </c>
      <c r="C30">
        <v>249</v>
      </c>
      <c r="D30">
        <v>249</v>
      </c>
      <c r="E30" s="18"/>
      <c r="F30" s="19"/>
      <c r="G30" s="19"/>
      <c r="H30" s="22"/>
      <c r="I30" s="22"/>
      <c r="J30" s="22"/>
      <c r="K30" s="22"/>
      <c r="L30" s="22"/>
      <c r="M30" s="22"/>
      <c r="N30" s="22"/>
      <c r="O30" s="22"/>
      <c r="P30" s="22"/>
      <c r="Q30" s="24"/>
      <c r="R30" s="23"/>
      <c r="S30" s="24"/>
      <c r="T30" s="22"/>
      <c r="U30" s="22"/>
      <c r="V30" s="22"/>
      <c r="W30" s="22"/>
      <c r="X30" s="22"/>
      <c r="Y30" s="24"/>
    </row>
    <row r="31" spans="1:52" ht="15.75" customHeight="1" x14ac:dyDescent="0.2">
      <c r="A31" s="8" t="s">
        <v>425</v>
      </c>
      <c r="B31">
        <v>100</v>
      </c>
      <c r="C31">
        <v>249</v>
      </c>
      <c r="D31">
        <v>249</v>
      </c>
      <c r="E31" s="18"/>
      <c r="F31" s="19"/>
      <c r="G31" s="19"/>
      <c r="H31" s="22"/>
      <c r="I31" s="22"/>
      <c r="J31" s="22"/>
      <c r="K31" s="22"/>
      <c r="L31" s="22"/>
      <c r="M31" s="22"/>
      <c r="N31" s="22"/>
      <c r="O31" s="22"/>
      <c r="P31" s="22"/>
      <c r="Q31" s="24"/>
      <c r="R31" s="23"/>
      <c r="S31" s="24"/>
      <c r="T31" s="22"/>
      <c r="U31" s="22"/>
      <c r="V31" s="22"/>
      <c r="W31" s="22"/>
      <c r="X31" s="22"/>
      <c r="Y31" s="24"/>
      <c r="Z31" s="45"/>
    </row>
    <row r="32" spans="1:52" ht="15.75" customHeight="1" x14ac:dyDescent="0.2">
      <c r="A32" s="8" t="s">
        <v>426</v>
      </c>
      <c r="B32">
        <v>100</v>
      </c>
      <c r="C32">
        <v>249</v>
      </c>
      <c r="D32">
        <v>249</v>
      </c>
      <c r="E32" s="18"/>
      <c r="F32" s="19"/>
      <c r="G32" s="19"/>
      <c r="H32" s="22"/>
      <c r="I32" s="22"/>
      <c r="J32" s="22"/>
      <c r="K32" s="22"/>
      <c r="L32" s="22"/>
      <c r="M32" s="22"/>
      <c r="N32" s="22"/>
      <c r="O32" s="22"/>
      <c r="P32" s="22"/>
      <c r="Q32" s="24"/>
      <c r="R32" s="23"/>
      <c r="S32" s="24"/>
      <c r="T32" s="22"/>
      <c r="U32" s="22"/>
      <c r="V32" s="22"/>
      <c r="W32" s="22"/>
      <c r="X32" s="22"/>
      <c r="Y32" s="24"/>
      <c r="Z32" s="45"/>
    </row>
    <row r="33" spans="1:26" ht="15.75" customHeight="1" x14ac:dyDescent="0.2">
      <c r="A33" s="8" t="s">
        <v>427</v>
      </c>
      <c r="B33">
        <v>100</v>
      </c>
      <c r="C33">
        <v>100</v>
      </c>
      <c r="D33">
        <v>249</v>
      </c>
      <c r="E33" s="18"/>
      <c r="F33" s="19"/>
      <c r="G33" s="19"/>
      <c r="H33" s="22"/>
      <c r="I33" s="22"/>
      <c r="J33" s="22"/>
      <c r="K33" s="22"/>
      <c r="L33" s="22"/>
      <c r="M33" s="22"/>
      <c r="N33" s="22"/>
      <c r="O33" s="22"/>
      <c r="P33" s="22"/>
      <c r="Q33" s="24"/>
      <c r="R33" s="23"/>
      <c r="S33" s="24"/>
      <c r="T33" s="22"/>
      <c r="U33" s="22"/>
      <c r="V33" s="22"/>
      <c r="W33" s="22"/>
      <c r="X33" s="22"/>
      <c r="Y33" s="24"/>
      <c r="Z33" s="45"/>
    </row>
    <row r="34" spans="1:26" ht="15.75" customHeight="1" x14ac:dyDescent="0.2">
      <c r="A34" s="8" t="s">
        <v>428</v>
      </c>
      <c r="B34">
        <v>100</v>
      </c>
      <c r="C34">
        <v>249</v>
      </c>
      <c r="D34">
        <v>249</v>
      </c>
      <c r="E34" s="18"/>
      <c r="F34" s="19"/>
      <c r="G34" s="19"/>
      <c r="H34" s="22"/>
      <c r="I34" s="22"/>
      <c r="J34" s="22"/>
      <c r="K34" s="22"/>
      <c r="L34" s="22"/>
      <c r="M34" s="22"/>
      <c r="N34" s="22"/>
      <c r="O34" s="22"/>
      <c r="P34" s="22"/>
      <c r="Q34" s="24"/>
      <c r="R34" s="23"/>
      <c r="S34" s="24"/>
      <c r="T34" s="22"/>
      <c r="U34" s="22"/>
      <c r="V34" s="22"/>
      <c r="W34" s="22"/>
      <c r="X34" s="22"/>
      <c r="Y34" s="24"/>
      <c r="Z34" s="45"/>
    </row>
    <row r="35" spans="1:26" ht="15.75" customHeight="1" x14ac:dyDescent="0.2">
      <c r="A35" s="8" t="s">
        <v>429</v>
      </c>
      <c r="B35">
        <v>100</v>
      </c>
      <c r="C35">
        <v>249</v>
      </c>
      <c r="D35">
        <v>249</v>
      </c>
      <c r="E35" s="20"/>
      <c r="F35" s="21"/>
      <c r="G35" s="21"/>
      <c r="H35" s="25"/>
      <c r="I35" s="25"/>
      <c r="J35" s="25"/>
      <c r="K35" s="25"/>
      <c r="L35" s="25"/>
      <c r="M35" s="25"/>
      <c r="N35" s="25"/>
      <c r="O35" s="25"/>
      <c r="P35" s="25"/>
      <c r="Q35" s="27"/>
      <c r="R35" s="26"/>
      <c r="S35" s="27"/>
      <c r="T35" s="25"/>
      <c r="U35" s="25"/>
      <c r="V35" s="25"/>
      <c r="W35" s="25"/>
      <c r="X35" s="25"/>
      <c r="Y35" s="27"/>
      <c r="Z35" s="45"/>
    </row>
    <row r="36" spans="1:26" ht="15.75" customHeight="1" x14ac:dyDescent="0.25">
      <c r="A36" s="8" t="s">
        <v>430</v>
      </c>
      <c r="B36">
        <v>100</v>
      </c>
      <c r="C36">
        <v>249</v>
      </c>
      <c r="D36">
        <v>249</v>
      </c>
      <c r="E36" s="580" t="s">
        <v>431</v>
      </c>
      <c r="Z36" s="45"/>
    </row>
    <row r="37" spans="1:26" ht="15.75" customHeight="1" x14ac:dyDescent="0.2">
      <c r="A37" s="8" t="s">
        <v>432</v>
      </c>
      <c r="B37">
        <v>100</v>
      </c>
      <c r="C37">
        <v>249</v>
      </c>
      <c r="D37">
        <v>249</v>
      </c>
      <c r="E37" s="570" t="s">
        <v>433</v>
      </c>
      <c r="F37" s="570" t="s">
        <v>434</v>
      </c>
      <c r="G37" s="570" t="s">
        <v>435</v>
      </c>
      <c r="I37" s="272"/>
      <c r="Z37" s="45"/>
    </row>
    <row r="38" spans="1:26" ht="15.75" customHeight="1" x14ac:dyDescent="0.2">
      <c r="A38" s="8" t="s">
        <v>436</v>
      </c>
      <c r="B38">
        <v>100</v>
      </c>
      <c r="C38">
        <v>249</v>
      </c>
      <c r="D38">
        <v>249</v>
      </c>
      <c r="E38" s="570" t="s">
        <v>437</v>
      </c>
      <c r="F38" s="570" t="str">
        <f>IF(Tanks!B11=1,"Default", "Cap")</f>
        <v>Cap</v>
      </c>
      <c r="G38" s="570" t="str">
        <f>IF(Tanks!C11=1,"default", "cap")</f>
        <v>cap</v>
      </c>
      <c r="Z38" s="45"/>
    </row>
    <row r="39" spans="1:26" ht="15.75" customHeight="1" x14ac:dyDescent="0.2">
      <c r="A39" s="8" t="s">
        <v>438</v>
      </c>
      <c r="B39">
        <v>100</v>
      </c>
      <c r="C39">
        <v>249</v>
      </c>
      <c r="D39">
        <v>249</v>
      </c>
      <c r="E39" s="570" t="s">
        <v>439</v>
      </c>
      <c r="F39" s="570" t="str">
        <f>IF(Tanks!B11=1,"Default", "Cap")</f>
        <v>Cap</v>
      </c>
      <c r="G39" s="570" t="str">
        <f>IF(Tanks!C11=1,"default", "cap")</f>
        <v>cap</v>
      </c>
      <c r="Z39" s="45"/>
    </row>
    <row r="40" spans="1:26" ht="15.75" customHeight="1" x14ac:dyDescent="0.2">
      <c r="A40" s="8" t="s">
        <v>440</v>
      </c>
      <c r="B40">
        <v>100</v>
      </c>
      <c r="C40">
        <v>249</v>
      </c>
      <c r="D40">
        <v>249</v>
      </c>
    </row>
    <row r="41" spans="1:26" ht="15.75" customHeight="1" x14ac:dyDescent="0.2">
      <c r="A41" s="8" t="s">
        <v>441</v>
      </c>
      <c r="B41">
        <v>100</v>
      </c>
      <c r="C41">
        <v>249</v>
      </c>
      <c r="D41">
        <v>249</v>
      </c>
    </row>
    <row r="42" spans="1:26" x14ac:dyDescent="0.2">
      <c r="A42" s="8" t="s">
        <v>442</v>
      </c>
      <c r="B42">
        <v>100</v>
      </c>
      <c r="C42">
        <v>249</v>
      </c>
      <c r="D42">
        <v>249</v>
      </c>
    </row>
    <row r="43" spans="1:26" x14ac:dyDescent="0.2">
      <c r="A43" s="8" t="s">
        <v>443</v>
      </c>
      <c r="B43">
        <v>100</v>
      </c>
      <c r="C43">
        <v>249</v>
      </c>
      <c r="D43">
        <v>249</v>
      </c>
    </row>
    <row r="44" spans="1:26" ht="15" x14ac:dyDescent="0.25">
      <c r="A44" s="8" t="s">
        <v>444</v>
      </c>
      <c r="B44">
        <v>100</v>
      </c>
      <c r="C44">
        <v>249</v>
      </c>
      <c r="D44">
        <v>249</v>
      </c>
      <c r="E44" s="580" t="s">
        <v>445</v>
      </c>
    </row>
    <row r="45" spans="1:26" ht="15" x14ac:dyDescent="0.2">
      <c r="A45" s="8" t="s">
        <v>446</v>
      </c>
      <c r="B45">
        <v>100</v>
      </c>
      <c r="C45">
        <v>249</v>
      </c>
      <c r="D45">
        <v>249</v>
      </c>
      <c r="E45" s="570"/>
      <c r="F45" s="562" t="s">
        <v>297</v>
      </c>
      <c r="G45" s="562" t="s">
        <v>247</v>
      </c>
      <c r="H45" s="562" t="s">
        <v>248</v>
      </c>
      <c r="I45" s="562" t="s">
        <v>298</v>
      </c>
      <c r="J45" s="562" t="s">
        <v>299</v>
      </c>
      <c r="K45" s="562" t="s">
        <v>251</v>
      </c>
      <c r="L45" s="562" t="s">
        <v>300</v>
      </c>
      <c r="M45" s="562" t="s">
        <v>301</v>
      </c>
      <c r="N45" s="562" t="s">
        <v>302</v>
      </c>
      <c r="O45" s="570" t="s">
        <v>447</v>
      </c>
    </row>
    <row r="46" spans="1:26" x14ac:dyDescent="0.2">
      <c r="A46" s="8" t="s">
        <v>448</v>
      </c>
      <c r="B46">
        <v>100</v>
      </c>
      <c r="C46">
        <v>249</v>
      </c>
      <c r="D46">
        <v>249</v>
      </c>
      <c r="E46" s="561" t="s">
        <v>449</v>
      </c>
      <c r="F46" s="570">
        <f>IF('ENGINE Summary'!C39&gt;'ENGINE Summary'!C41,1,0)</f>
        <v>0</v>
      </c>
      <c r="G46" s="570">
        <f>IF('ENGINE Summary'!D39&gt;'ENGINE Summary'!D41,1,0)</f>
        <v>0</v>
      </c>
      <c r="H46" s="570">
        <f>IF('ENGINE Summary'!E39&gt;'ENGINE Summary'!E41,1,0)</f>
        <v>0</v>
      </c>
      <c r="I46" s="570">
        <f>IF('ENGINE Summary'!F39&gt;'ENGINE Summary'!F41,1,0)</f>
        <v>0</v>
      </c>
      <c r="J46" s="570">
        <f>IF('ENGINE Summary'!G39&gt;'ENGINE Summary'!G41,1,0)</f>
        <v>0</v>
      </c>
      <c r="K46" s="570">
        <f>IF('ENGINE Summary'!H39&gt;'ENGINE Summary'!H41,1,0)</f>
        <v>0</v>
      </c>
      <c r="L46" s="570">
        <f>IF('ENGINE Summary'!I39&gt;'ENGINE Summary'!I41,1,0)</f>
        <v>0</v>
      </c>
      <c r="M46" s="570">
        <f>IF('ENGINE Summary'!J39&gt;'ENGINE Summary'!J41,1,0)</f>
        <v>0</v>
      </c>
      <c r="N46" s="570">
        <f>IF('ENGINE Summary'!K39&gt;'ENGINE Summary'!K41,1,0)</f>
        <v>0</v>
      </c>
      <c r="O46" s="570">
        <f>SUM(F46:N46)</f>
        <v>0</v>
      </c>
    </row>
    <row r="47" spans="1:26" x14ac:dyDescent="0.2">
      <c r="A47" s="8" t="s">
        <v>450</v>
      </c>
      <c r="B47">
        <v>100</v>
      </c>
      <c r="C47">
        <v>249</v>
      </c>
      <c r="D47">
        <v>249</v>
      </c>
      <c r="E47" s="561" t="s">
        <v>451</v>
      </c>
      <c r="F47" s="570">
        <f>IF('ENGINE Summary'!C40&gt;'ENGINE Summary'!C41,1,0)</f>
        <v>0</v>
      </c>
      <c r="G47" s="570">
        <f>IF('ENGINE Summary'!D40&gt;'ENGINE Summary'!D41,1,0)</f>
        <v>0</v>
      </c>
      <c r="H47" s="570">
        <f>IF('ENGINE Summary'!E40&gt;'ENGINE Summary'!E41,1,0)</f>
        <v>0</v>
      </c>
      <c r="I47" s="570">
        <f>IF('ENGINE Summary'!F40&gt;'ENGINE Summary'!F41,1,0)</f>
        <v>0</v>
      </c>
      <c r="J47" s="570">
        <f>IF('ENGINE Summary'!G40&gt;'ENGINE Summary'!G41,1,0)</f>
        <v>0</v>
      </c>
      <c r="K47" s="570">
        <f>IF('ENGINE Summary'!H40&gt;'ENGINE Summary'!H41,1,0)</f>
        <v>0</v>
      </c>
      <c r="L47" s="570">
        <f>IF('ENGINE Summary'!I40&gt;'ENGINE Summary'!I41,1,0)</f>
        <v>0</v>
      </c>
      <c r="M47" s="570">
        <f>IF('ENGINE Summary'!J40&gt;'ENGINE Summary'!J41,1,0)</f>
        <v>0</v>
      </c>
      <c r="N47" s="570">
        <f>IF('ENGINE Summary'!K40&gt;'ENGINE Summary'!K41,1,0)</f>
        <v>0</v>
      </c>
      <c r="O47" s="570">
        <f>SUM(F47:N47)</f>
        <v>0</v>
      </c>
    </row>
    <row r="48" spans="1:26" x14ac:dyDescent="0.2">
      <c r="A48" s="8" t="s">
        <v>452</v>
      </c>
      <c r="B48">
        <v>100</v>
      </c>
      <c r="C48">
        <v>249</v>
      </c>
      <c r="D48">
        <v>249</v>
      </c>
      <c r="E48" s="570" t="s">
        <v>453</v>
      </c>
      <c r="F48" s="570">
        <f>IF('ENGINE Summary'!C57&gt;'ENGINE Summary'!C59,1,0)</f>
        <v>0</v>
      </c>
      <c r="G48" s="570">
        <f>IF('ENGINE Summary'!D57&gt;'ENGINE Summary'!D59,1,0)</f>
        <v>0</v>
      </c>
      <c r="H48" s="570">
        <f>IF('ENGINE Summary'!E57&gt;'ENGINE Summary'!E59,1,0)</f>
        <v>0</v>
      </c>
      <c r="I48" s="570">
        <f>IF('ENGINE Summary'!F57&gt;'ENGINE Summary'!F59,1,0)</f>
        <v>0</v>
      </c>
      <c r="J48" s="570">
        <f>IF('ENGINE Summary'!G57&gt;'ENGINE Summary'!G59,1,0)</f>
        <v>0</v>
      </c>
      <c r="K48" s="570">
        <f>IF('ENGINE Summary'!H57&gt;'ENGINE Summary'!H59,1,0)</f>
        <v>0</v>
      </c>
      <c r="L48" s="570">
        <f>IF('ENGINE Summary'!I57&gt;'ENGINE Summary'!I59,1,0)</f>
        <v>0</v>
      </c>
      <c r="M48" s="570">
        <f>IF('ENGINE Summary'!J57&gt;'ENGINE Summary'!J59,1,0)</f>
        <v>0</v>
      </c>
      <c r="N48" s="570">
        <f>IF('ENGINE Summary'!K57&gt;'ENGINE Summary'!K59,1,0)</f>
        <v>0</v>
      </c>
      <c r="O48" s="570">
        <f>SUM(F48:N48)</f>
        <v>0</v>
      </c>
    </row>
    <row r="49" spans="1:15" x14ac:dyDescent="0.2">
      <c r="A49" s="8" t="s">
        <v>454</v>
      </c>
      <c r="B49">
        <v>100</v>
      </c>
      <c r="C49">
        <v>100</v>
      </c>
      <c r="D49">
        <v>249</v>
      </c>
      <c r="E49" s="570" t="s">
        <v>455</v>
      </c>
      <c r="F49" s="570">
        <f>IF('ENGINE Summary'!C58&gt;'ENGINE Summary'!C59,1,0)</f>
        <v>0</v>
      </c>
      <c r="G49" s="570">
        <f>IF('ENGINE Summary'!D58&gt;'ENGINE Summary'!D59,1,0)</f>
        <v>0</v>
      </c>
      <c r="H49" s="570">
        <f>IF('ENGINE Summary'!E58&gt;'ENGINE Summary'!E59,1,0)</f>
        <v>0</v>
      </c>
      <c r="I49" s="570">
        <f>IF('ENGINE Summary'!F58&gt;'ENGINE Summary'!F59,1,0)</f>
        <v>0</v>
      </c>
      <c r="J49" s="570">
        <f>IF('ENGINE Summary'!G58&gt;'ENGINE Summary'!G59,1,0)</f>
        <v>0</v>
      </c>
      <c r="K49" s="570">
        <f>IF('ENGINE Summary'!H58&gt;'ENGINE Summary'!H59,1,0)</f>
        <v>0</v>
      </c>
      <c r="L49" s="570">
        <f>IF('ENGINE Summary'!I58&gt;'ENGINE Summary'!I59,1,0)</f>
        <v>0</v>
      </c>
      <c r="M49" s="570">
        <f>IF('ENGINE Summary'!J58&gt;'ENGINE Summary'!J59,1,0)</f>
        <v>0</v>
      </c>
      <c r="N49" s="570">
        <f>IF('ENGINE Summary'!K58&gt;'ENGINE Summary'!K59,1,0)</f>
        <v>0</v>
      </c>
      <c r="O49" s="570">
        <f>SUM(F49:N49)</f>
        <v>0</v>
      </c>
    </row>
    <row r="50" spans="1:15" x14ac:dyDescent="0.2">
      <c r="A50" s="8" t="s">
        <v>456</v>
      </c>
      <c r="B50">
        <v>100</v>
      </c>
      <c r="C50">
        <v>249</v>
      </c>
      <c r="D50">
        <v>249</v>
      </c>
    </row>
    <row r="51" spans="1:15" ht="15" x14ac:dyDescent="0.25">
      <c r="A51" s="8" t="s">
        <v>457</v>
      </c>
      <c r="B51">
        <v>100</v>
      </c>
      <c r="C51">
        <v>249</v>
      </c>
      <c r="D51">
        <v>249</v>
      </c>
      <c r="E51" s="581" t="s">
        <v>458</v>
      </c>
      <c r="F51" s="570"/>
      <c r="G51" s="570"/>
      <c r="H51" s="570"/>
      <c r="I51" s="570"/>
    </row>
    <row r="52" spans="1:15" x14ac:dyDescent="0.2">
      <c r="A52" s="8" t="s">
        <v>459</v>
      </c>
      <c r="B52">
        <v>100</v>
      </c>
      <c r="C52">
        <v>249</v>
      </c>
      <c r="D52">
        <v>249</v>
      </c>
      <c r="E52" s="570" t="s">
        <v>460</v>
      </c>
      <c r="F52" s="570" t="s">
        <v>461</v>
      </c>
      <c r="G52" s="570"/>
      <c r="H52" s="570"/>
      <c r="I52" s="570"/>
    </row>
    <row r="53" spans="1:15" x14ac:dyDescent="0.2">
      <c r="A53" s="8" t="s">
        <v>462</v>
      </c>
      <c r="B53">
        <v>100</v>
      </c>
      <c r="C53">
        <v>249</v>
      </c>
      <c r="D53">
        <v>249</v>
      </c>
      <c r="E53" s="570" t="s">
        <v>463</v>
      </c>
      <c r="F53" s="570" t="s">
        <v>464</v>
      </c>
      <c r="G53" s="570"/>
      <c r="H53" s="570"/>
      <c r="I53" s="570"/>
    </row>
    <row r="54" spans="1:15" x14ac:dyDescent="0.2">
      <c r="A54" s="8" t="s">
        <v>465</v>
      </c>
      <c r="B54">
        <v>100</v>
      </c>
      <c r="C54">
        <v>249</v>
      </c>
      <c r="D54">
        <v>249</v>
      </c>
      <c r="E54" s="570" t="s">
        <v>466</v>
      </c>
      <c r="F54" s="570" t="s">
        <v>467</v>
      </c>
      <c r="G54" s="570"/>
      <c r="H54" s="570"/>
      <c r="I54" s="570"/>
    </row>
    <row r="55" spans="1:15" x14ac:dyDescent="0.2">
      <c r="A55" s="8" t="s">
        <v>468</v>
      </c>
      <c r="B55">
        <v>100</v>
      </c>
      <c r="C55">
        <v>249</v>
      </c>
      <c r="D55">
        <v>249</v>
      </c>
      <c r="E55" s="570" t="s">
        <v>469</v>
      </c>
      <c r="F55" s="570" t="s">
        <v>470</v>
      </c>
      <c r="G55" s="570"/>
      <c r="H55" s="570"/>
      <c r="I55" s="570"/>
    </row>
    <row r="56" spans="1:15" ht="15" x14ac:dyDescent="0.25">
      <c r="A56" s="8" t="s">
        <v>471</v>
      </c>
      <c r="B56">
        <v>100</v>
      </c>
      <c r="C56">
        <v>100</v>
      </c>
      <c r="D56">
        <v>249</v>
      </c>
      <c r="E56" s="581" t="s">
        <v>472</v>
      </c>
    </row>
    <row r="57" spans="1:15" x14ac:dyDescent="0.2">
      <c r="A57" s="8" t="s">
        <v>473</v>
      </c>
      <c r="B57">
        <v>100</v>
      </c>
      <c r="C57">
        <v>249</v>
      </c>
      <c r="D57">
        <v>249</v>
      </c>
      <c r="E57" s="570" t="s">
        <v>474</v>
      </c>
      <c r="F57" s="570" t="s">
        <v>475</v>
      </c>
    </row>
    <row r="58" spans="1:15" x14ac:dyDescent="0.2">
      <c r="A58" s="8" t="s">
        <v>476</v>
      </c>
      <c r="B58">
        <v>100</v>
      </c>
      <c r="C58">
        <v>249</v>
      </c>
      <c r="D58">
        <v>249</v>
      </c>
      <c r="E58" s="570" t="s">
        <v>477</v>
      </c>
      <c r="F58" s="570" t="s">
        <v>478</v>
      </c>
    </row>
    <row r="59" spans="1:15" x14ac:dyDescent="0.2">
      <c r="A59" s="8" t="s">
        <v>479</v>
      </c>
      <c r="B59">
        <v>100</v>
      </c>
      <c r="C59">
        <v>249</v>
      </c>
      <c r="D59">
        <v>249</v>
      </c>
      <c r="E59" s="570" t="s">
        <v>466</v>
      </c>
      <c r="F59" s="570" t="s">
        <v>480</v>
      </c>
    </row>
    <row r="60" spans="1:15" x14ac:dyDescent="0.2">
      <c r="A60" s="8" t="s">
        <v>481</v>
      </c>
      <c r="B60">
        <v>100</v>
      </c>
      <c r="C60">
        <v>249</v>
      </c>
      <c r="D60">
        <v>249</v>
      </c>
      <c r="E60" s="570" t="s">
        <v>477</v>
      </c>
      <c r="F60" s="570" t="s">
        <v>478</v>
      </c>
    </row>
    <row r="61" spans="1:15" x14ac:dyDescent="0.2">
      <c r="A61" s="8" t="s">
        <v>482</v>
      </c>
      <c r="B61">
        <v>100</v>
      </c>
      <c r="C61">
        <v>249</v>
      </c>
      <c r="D61">
        <v>249</v>
      </c>
    </row>
    <row r="62" spans="1:15" x14ac:dyDescent="0.2">
      <c r="A62" s="8" t="s">
        <v>483</v>
      </c>
      <c r="B62">
        <v>100</v>
      </c>
      <c r="C62">
        <v>249</v>
      </c>
      <c r="D62">
        <v>249</v>
      </c>
    </row>
    <row r="63" spans="1:15" ht="15" x14ac:dyDescent="0.25">
      <c r="A63" s="8" t="s">
        <v>484</v>
      </c>
      <c r="B63">
        <v>100</v>
      </c>
      <c r="C63">
        <v>249</v>
      </c>
      <c r="D63">
        <v>249</v>
      </c>
      <c r="E63" s="580" t="s">
        <v>485</v>
      </c>
    </row>
    <row r="64" spans="1:15" x14ac:dyDescent="0.2">
      <c r="A64" s="8" t="s">
        <v>486</v>
      </c>
      <c r="B64">
        <v>100</v>
      </c>
      <c r="C64">
        <v>249</v>
      </c>
      <c r="D64">
        <v>249</v>
      </c>
      <c r="E64" s="570" t="b">
        <f>COUNTIF(ENGINE1!$B$21,"NO")+COUNTIF(ENGINE2!$B$21,"NO")+COUNTIF(ENGINE3!$B$21,"NO")+COUNTIF(ENGINE4!$B$21,"NO")+COUNTIF(ENGINE5!B21,"NO")+COUNTIF(ENGINE6!$B$21,"NO")+COUNTIF(ENGINE7!$B$21,"NO")+COUNTIF(ENGINE8!$B$21,"NO")+COUNTIF(ENGINE9!$B$21,"NO")+COUNTIF(ENGINE10!$B$21,"NO")='PI-1-PowerEngine'!$B$78</f>
        <v>1</v>
      </c>
    </row>
    <row r="65" spans="1:9" x14ac:dyDescent="0.2">
      <c r="A65" s="8" t="s">
        <v>487</v>
      </c>
      <c r="B65">
        <v>100</v>
      </c>
      <c r="C65">
        <v>249</v>
      </c>
      <c r="D65">
        <v>249</v>
      </c>
    </row>
    <row r="66" spans="1:9" ht="15" x14ac:dyDescent="0.25">
      <c r="A66" s="8" t="s">
        <v>488</v>
      </c>
      <c r="B66">
        <v>100</v>
      </c>
      <c r="C66">
        <v>249</v>
      </c>
      <c r="D66">
        <v>249</v>
      </c>
      <c r="E66" s="580" t="s">
        <v>489</v>
      </c>
    </row>
    <row r="67" spans="1:9" x14ac:dyDescent="0.2">
      <c r="A67" s="8" t="s">
        <v>490</v>
      </c>
      <c r="B67">
        <v>100</v>
      </c>
      <c r="C67">
        <v>249</v>
      </c>
      <c r="D67">
        <v>249</v>
      </c>
      <c r="E67" s="640">
        <f ca="1">TODAY()</f>
        <v>45271</v>
      </c>
    </row>
    <row r="68" spans="1:9" x14ac:dyDescent="0.2">
      <c r="A68" s="8" t="s">
        <v>491</v>
      </c>
      <c r="B68">
        <v>100</v>
      </c>
      <c r="C68">
        <v>249</v>
      </c>
      <c r="D68">
        <v>249</v>
      </c>
    </row>
    <row r="69" spans="1:9" x14ac:dyDescent="0.2">
      <c r="A69" s="8" t="s">
        <v>492</v>
      </c>
      <c r="B69">
        <v>100</v>
      </c>
      <c r="C69">
        <v>249</v>
      </c>
      <c r="D69">
        <v>249</v>
      </c>
    </row>
    <row r="70" spans="1:9" ht="15" x14ac:dyDescent="0.25">
      <c r="A70" s="8" t="s">
        <v>493</v>
      </c>
      <c r="B70">
        <v>100</v>
      </c>
      <c r="C70">
        <v>100</v>
      </c>
      <c r="D70">
        <v>249</v>
      </c>
      <c r="E70" s="581" t="s">
        <v>1039</v>
      </c>
      <c r="F70" s="570"/>
      <c r="G70" s="570"/>
      <c r="H70" s="570"/>
      <c r="I70" s="570"/>
    </row>
    <row r="71" spans="1:9" x14ac:dyDescent="0.2">
      <c r="A71" s="8" t="s">
        <v>494</v>
      </c>
      <c r="B71">
        <v>100</v>
      </c>
      <c r="C71">
        <v>249</v>
      </c>
      <c r="D71">
        <v>249</v>
      </c>
      <c r="E71" s="570" t="s">
        <v>460</v>
      </c>
      <c r="F71" s="570" t="s">
        <v>1042</v>
      </c>
      <c r="G71" s="570"/>
      <c r="H71" s="570"/>
      <c r="I71" s="570"/>
    </row>
    <row r="72" spans="1:9" x14ac:dyDescent="0.2">
      <c r="A72" s="8" t="s">
        <v>495</v>
      </c>
      <c r="B72">
        <v>100</v>
      </c>
      <c r="C72">
        <v>249</v>
      </c>
      <c r="D72">
        <v>249</v>
      </c>
      <c r="E72" s="570" t="s">
        <v>469</v>
      </c>
      <c r="F72" s="570" t="s">
        <v>1043</v>
      </c>
      <c r="G72" s="570"/>
      <c r="H72" s="570"/>
      <c r="I72" s="570"/>
    </row>
    <row r="73" spans="1:9" ht="15" x14ac:dyDescent="0.25">
      <c r="A73" s="8" t="s">
        <v>1084</v>
      </c>
      <c r="B73">
        <v>100</v>
      </c>
      <c r="C73">
        <v>249</v>
      </c>
      <c r="D73">
        <v>249</v>
      </c>
      <c r="E73" s="581" t="s">
        <v>1040</v>
      </c>
    </row>
    <row r="74" spans="1:9" x14ac:dyDescent="0.2">
      <c r="A74" s="8" t="s">
        <v>496</v>
      </c>
      <c r="B74">
        <v>100</v>
      </c>
      <c r="C74">
        <v>100</v>
      </c>
      <c r="D74">
        <v>249</v>
      </c>
      <c r="E74" s="570" t="s">
        <v>474</v>
      </c>
      <c r="F74" s="570" t="s">
        <v>1041</v>
      </c>
    </row>
    <row r="75" spans="1:9" x14ac:dyDescent="0.2">
      <c r="A75" s="8" t="s">
        <v>497</v>
      </c>
      <c r="B75">
        <v>100</v>
      </c>
      <c r="C75">
        <v>249</v>
      </c>
      <c r="D75">
        <v>249</v>
      </c>
      <c r="E75" s="570" t="s">
        <v>477</v>
      </c>
      <c r="F75" s="570" t="s">
        <v>1044</v>
      </c>
    </row>
    <row r="76" spans="1:9" x14ac:dyDescent="0.2">
      <c r="A76" s="8" t="s">
        <v>498</v>
      </c>
      <c r="B76">
        <v>100</v>
      </c>
      <c r="C76">
        <v>249</v>
      </c>
      <c r="D76">
        <v>249</v>
      </c>
    </row>
    <row r="77" spans="1:9" x14ac:dyDescent="0.2">
      <c r="A77" s="8" t="s">
        <v>499</v>
      </c>
      <c r="B77">
        <v>100</v>
      </c>
      <c r="C77">
        <v>249</v>
      </c>
      <c r="D77">
        <v>249</v>
      </c>
      <c r="E77" t="str">
        <f>IF(Reference!O48&gt;0,Reference!F57,IF(Reference!O64&gt;0,Reference!F69,IF('ENGINE Summary'!B28=1,Reference!F70,Reference!F71)))</f>
        <v>*If the Total Tank Emissions exceeds the RAP limit but Max Tank Emissions does not, tanks must comply with the RAP limit. The lb/hr maximums listed represent the combined maximum for all tanks at the site authorized by a RAP operating at any given time. For example, if one tank is in service, the maximum combined standing emissions is 0.021 lb/hr and the maximum combined filling emissions is 0.430 lb/hr. If two tanks in service at the same time, the maximum combined standing emissions is 0.021 lb/hr and the maximum combined filling emissions is 0.430 lb/hr.</v>
      </c>
    </row>
    <row r="78" spans="1:9" x14ac:dyDescent="0.2">
      <c r="A78" s="8" t="s">
        <v>500</v>
      </c>
      <c r="B78">
        <v>100</v>
      </c>
      <c r="C78">
        <v>249</v>
      </c>
      <c r="D78">
        <v>249</v>
      </c>
    </row>
    <row r="79" spans="1:9" x14ac:dyDescent="0.2">
      <c r="A79" s="8" t="s">
        <v>501</v>
      </c>
      <c r="B79">
        <v>100</v>
      </c>
      <c r="C79">
        <v>249</v>
      </c>
      <c r="D79">
        <v>249</v>
      </c>
    </row>
    <row r="80" spans="1:9" x14ac:dyDescent="0.2">
      <c r="A80" s="8" t="s">
        <v>502</v>
      </c>
      <c r="B80">
        <v>100</v>
      </c>
      <c r="C80">
        <v>249</v>
      </c>
      <c r="D80">
        <v>249</v>
      </c>
    </row>
    <row r="81" spans="1:4" x14ac:dyDescent="0.2">
      <c r="A81" s="8" t="s">
        <v>503</v>
      </c>
      <c r="B81">
        <v>100</v>
      </c>
      <c r="C81">
        <v>249</v>
      </c>
      <c r="D81">
        <v>249</v>
      </c>
    </row>
    <row r="82" spans="1:4" x14ac:dyDescent="0.2">
      <c r="A82" s="8" t="s">
        <v>504</v>
      </c>
      <c r="B82">
        <v>100</v>
      </c>
      <c r="C82">
        <v>249</v>
      </c>
      <c r="D82">
        <v>249</v>
      </c>
    </row>
    <row r="83" spans="1:4" x14ac:dyDescent="0.2">
      <c r="A83" s="8" t="s">
        <v>505</v>
      </c>
      <c r="B83">
        <v>100</v>
      </c>
      <c r="C83">
        <v>100</v>
      </c>
      <c r="D83">
        <v>249</v>
      </c>
    </row>
    <row r="84" spans="1:4" x14ac:dyDescent="0.2">
      <c r="A84" s="8" t="s">
        <v>506</v>
      </c>
      <c r="B84">
        <v>100</v>
      </c>
      <c r="C84">
        <v>249</v>
      </c>
      <c r="D84">
        <v>100</v>
      </c>
    </row>
    <row r="85" spans="1:4" x14ac:dyDescent="0.2">
      <c r="A85" s="8" t="s">
        <v>507</v>
      </c>
      <c r="B85">
        <v>100</v>
      </c>
      <c r="C85">
        <v>249</v>
      </c>
      <c r="D85">
        <v>249</v>
      </c>
    </row>
    <row r="86" spans="1:4" x14ac:dyDescent="0.2">
      <c r="A86" s="8" t="s">
        <v>508</v>
      </c>
      <c r="B86">
        <v>100</v>
      </c>
      <c r="C86">
        <v>249</v>
      </c>
      <c r="D86">
        <v>249</v>
      </c>
    </row>
    <row r="87" spans="1:4" x14ac:dyDescent="0.2">
      <c r="A87" s="8" t="s">
        <v>509</v>
      </c>
      <c r="B87">
        <v>100</v>
      </c>
      <c r="C87">
        <v>249</v>
      </c>
      <c r="D87">
        <v>249</v>
      </c>
    </row>
    <row r="88" spans="1:4" x14ac:dyDescent="0.2">
      <c r="A88" s="8" t="s">
        <v>510</v>
      </c>
      <c r="B88">
        <v>100</v>
      </c>
      <c r="C88">
        <v>249</v>
      </c>
      <c r="D88">
        <v>249</v>
      </c>
    </row>
    <row r="89" spans="1:4" x14ac:dyDescent="0.2">
      <c r="A89" s="8" t="s">
        <v>511</v>
      </c>
      <c r="B89">
        <v>100</v>
      </c>
      <c r="C89">
        <v>249</v>
      </c>
      <c r="D89">
        <v>249</v>
      </c>
    </row>
    <row r="90" spans="1:4" x14ac:dyDescent="0.2">
      <c r="A90" s="8" t="s">
        <v>512</v>
      </c>
      <c r="B90">
        <v>100</v>
      </c>
      <c r="C90">
        <v>249</v>
      </c>
      <c r="D90">
        <v>249</v>
      </c>
    </row>
    <row r="91" spans="1:4" x14ac:dyDescent="0.2">
      <c r="A91" s="8" t="s">
        <v>513</v>
      </c>
      <c r="B91">
        <v>100</v>
      </c>
      <c r="C91">
        <v>249</v>
      </c>
      <c r="D91">
        <v>249</v>
      </c>
    </row>
    <row r="92" spans="1:4" x14ac:dyDescent="0.2">
      <c r="A92" s="8" t="s">
        <v>514</v>
      </c>
      <c r="B92">
        <v>100</v>
      </c>
      <c r="C92">
        <v>100</v>
      </c>
      <c r="D92">
        <v>249</v>
      </c>
    </row>
    <row r="93" spans="1:4" x14ac:dyDescent="0.2">
      <c r="A93" s="8" t="s">
        <v>515</v>
      </c>
      <c r="B93">
        <v>100</v>
      </c>
      <c r="C93">
        <v>249</v>
      </c>
      <c r="D93">
        <v>249</v>
      </c>
    </row>
    <row r="94" spans="1:4" x14ac:dyDescent="0.2">
      <c r="A94" s="8" t="s">
        <v>516</v>
      </c>
      <c r="B94">
        <v>100</v>
      </c>
      <c r="C94">
        <v>249</v>
      </c>
      <c r="D94">
        <v>249</v>
      </c>
    </row>
    <row r="95" spans="1:4" x14ac:dyDescent="0.2">
      <c r="A95" s="8" t="s">
        <v>517</v>
      </c>
      <c r="B95">
        <v>100</v>
      </c>
      <c r="C95">
        <v>249</v>
      </c>
      <c r="D95">
        <v>249</v>
      </c>
    </row>
    <row r="96" spans="1:4" x14ac:dyDescent="0.2">
      <c r="A96" s="8" t="s">
        <v>518</v>
      </c>
      <c r="B96">
        <v>100</v>
      </c>
      <c r="C96">
        <v>249</v>
      </c>
      <c r="D96">
        <v>249</v>
      </c>
    </row>
    <row r="97" spans="1:4" x14ac:dyDescent="0.2">
      <c r="A97" s="8" t="s">
        <v>519</v>
      </c>
      <c r="B97">
        <v>100</v>
      </c>
      <c r="C97">
        <v>100</v>
      </c>
      <c r="D97">
        <v>249</v>
      </c>
    </row>
    <row r="98" spans="1:4" x14ac:dyDescent="0.2">
      <c r="A98" s="8" t="s">
        <v>520</v>
      </c>
      <c r="B98">
        <v>100</v>
      </c>
      <c r="C98">
        <v>249</v>
      </c>
      <c r="D98">
        <v>249</v>
      </c>
    </row>
    <row r="99" spans="1:4" x14ac:dyDescent="0.2">
      <c r="A99" s="8" t="s">
        <v>521</v>
      </c>
      <c r="B99">
        <v>100</v>
      </c>
      <c r="C99">
        <v>249</v>
      </c>
      <c r="D99">
        <v>249</v>
      </c>
    </row>
    <row r="100" spans="1:4" x14ac:dyDescent="0.2">
      <c r="A100" s="8" t="s">
        <v>522</v>
      </c>
      <c r="B100">
        <v>100</v>
      </c>
      <c r="C100">
        <v>249</v>
      </c>
      <c r="D100">
        <v>249</v>
      </c>
    </row>
    <row r="101" spans="1:4" x14ac:dyDescent="0.2">
      <c r="A101" s="8" t="s">
        <v>523</v>
      </c>
      <c r="B101">
        <v>100</v>
      </c>
      <c r="C101">
        <v>249</v>
      </c>
      <c r="D101">
        <v>249</v>
      </c>
    </row>
    <row r="102" spans="1:4" x14ac:dyDescent="0.2">
      <c r="A102" s="8" t="s">
        <v>524</v>
      </c>
      <c r="B102">
        <v>100</v>
      </c>
      <c r="C102">
        <v>249</v>
      </c>
      <c r="D102">
        <v>249</v>
      </c>
    </row>
    <row r="103" spans="1:4" x14ac:dyDescent="0.2">
      <c r="A103" s="8" t="s">
        <v>525</v>
      </c>
      <c r="B103">
        <v>100</v>
      </c>
      <c r="C103">
        <v>249</v>
      </c>
      <c r="D103">
        <v>249</v>
      </c>
    </row>
    <row r="104" spans="1:4" x14ac:dyDescent="0.2">
      <c r="A104" s="8" t="s">
        <v>526</v>
      </c>
      <c r="B104">
        <v>100</v>
      </c>
      <c r="C104">
        <v>249</v>
      </c>
      <c r="D104">
        <v>249</v>
      </c>
    </row>
    <row r="105" spans="1:4" x14ac:dyDescent="0.2">
      <c r="A105" s="8" t="s">
        <v>527</v>
      </c>
      <c r="B105">
        <v>100</v>
      </c>
      <c r="C105">
        <v>249</v>
      </c>
      <c r="D105">
        <v>249</v>
      </c>
    </row>
    <row r="106" spans="1:4" x14ac:dyDescent="0.2">
      <c r="A106" s="8" t="s">
        <v>528</v>
      </c>
      <c r="B106">
        <v>100</v>
      </c>
      <c r="C106">
        <v>249</v>
      </c>
      <c r="D106">
        <v>249</v>
      </c>
    </row>
    <row r="107" spans="1:4" x14ac:dyDescent="0.2">
      <c r="A107" s="8" t="s">
        <v>529</v>
      </c>
      <c r="B107">
        <v>100</v>
      </c>
      <c r="C107">
        <v>249</v>
      </c>
      <c r="D107">
        <v>249</v>
      </c>
    </row>
    <row r="108" spans="1:4" x14ac:dyDescent="0.2">
      <c r="A108" s="8" t="s">
        <v>530</v>
      </c>
      <c r="B108">
        <v>100</v>
      </c>
      <c r="C108">
        <v>249</v>
      </c>
      <c r="D108">
        <v>249</v>
      </c>
    </row>
    <row r="109" spans="1:4" x14ac:dyDescent="0.2">
      <c r="A109" s="8" t="s">
        <v>531</v>
      </c>
      <c r="B109">
        <v>100</v>
      </c>
      <c r="C109">
        <v>249</v>
      </c>
      <c r="D109">
        <v>249</v>
      </c>
    </row>
    <row r="110" spans="1:4" x14ac:dyDescent="0.2">
      <c r="A110" s="8" t="s">
        <v>532</v>
      </c>
      <c r="B110">
        <v>100</v>
      </c>
      <c r="C110">
        <v>249</v>
      </c>
      <c r="D110">
        <v>249</v>
      </c>
    </row>
    <row r="111" spans="1:4" x14ac:dyDescent="0.2">
      <c r="A111" s="8" t="s">
        <v>533</v>
      </c>
      <c r="B111">
        <v>100</v>
      </c>
      <c r="C111">
        <v>249</v>
      </c>
      <c r="D111">
        <v>249</v>
      </c>
    </row>
    <row r="112" spans="1:4" x14ac:dyDescent="0.2">
      <c r="A112" s="8" t="s">
        <v>534</v>
      </c>
      <c r="B112">
        <v>100</v>
      </c>
      <c r="C112">
        <v>249</v>
      </c>
      <c r="D112">
        <v>249</v>
      </c>
    </row>
    <row r="113" spans="1:4" x14ac:dyDescent="0.2">
      <c r="A113" s="8" t="s">
        <v>535</v>
      </c>
      <c r="B113">
        <v>100</v>
      </c>
      <c r="C113">
        <v>249</v>
      </c>
      <c r="D113">
        <v>249</v>
      </c>
    </row>
    <row r="114" spans="1:4" x14ac:dyDescent="0.2">
      <c r="A114" s="8" t="s">
        <v>536</v>
      </c>
      <c r="B114">
        <v>100</v>
      </c>
      <c r="C114">
        <v>100</v>
      </c>
      <c r="D114">
        <v>249</v>
      </c>
    </row>
    <row r="115" spans="1:4" x14ac:dyDescent="0.2">
      <c r="A115" s="8" t="s">
        <v>537</v>
      </c>
      <c r="B115">
        <v>100</v>
      </c>
      <c r="C115">
        <v>249</v>
      </c>
      <c r="D115">
        <v>249</v>
      </c>
    </row>
    <row r="116" spans="1:4" x14ac:dyDescent="0.2">
      <c r="A116" s="8" t="s">
        <v>538</v>
      </c>
      <c r="B116">
        <v>100</v>
      </c>
      <c r="C116">
        <v>249</v>
      </c>
      <c r="D116">
        <v>249</v>
      </c>
    </row>
    <row r="117" spans="1:4" x14ac:dyDescent="0.2">
      <c r="A117" s="8" t="s">
        <v>539</v>
      </c>
      <c r="B117">
        <v>100</v>
      </c>
      <c r="C117">
        <v>249</v>
      </c>
      <c r="D117">
        <v>249</v>
      </c>
    </row>
    <row r="118" spans="1:4" x14ac:dyDescent="0.2">
      <c r="A118" s="8" t="s">
        <v>540</v>
      </c>
      <c r="B118">
        <v>100</v>
      </c>
      <c r="C118">
        <v>249</v>
      </c>
      <c r="D118">
        <v>249</v>
      </c>
    </row>
    <row r="119" spans="1:4" x14ac:dyDescent="0.2">
      <c r="A119" s="8" t="s">
        <v>541</v>
      </c>
      <c r="B119">
        <v>100</v>
      </c>
      <c r="C119">
        <v>249</v>
      </c>
      <c r="D119">
        <v>249</v>
      </c>
    </row>
    <row r="120" spans="1:4" x14ac:dyDescent="0.2">
      <c r="A120" s="8" t="s">
        <v>542</v>
      </c>
      <c r="B120">
        <v>100</v>
      </c>
      <c r="C120">
        <v>249</v>
      </c>
      <c r="D120">
        <v>249</v>
      </c>
    </row>
    <row r="121" spans="1:4" x14ac:dyDescent="0.2">
      <c r="A121" s="8" t="s">
        <v>543</v>
      </c>
      <c r="B121">
        <v>100</v>
      </c>
      <c r="C121">
        <v>249</v>
      </c>
      <c r="D121">
        <v>249</v>
      </c>
    </row>
    <row r="122" spans="1:4" x14ac:dyDescent="0.2">
      <c r="A122" s="8" t="s">
        <v>544</v>
      </c>
      <c r="B122">
        <v>100</v>
      </c>
      <c r="C122">
        <v>249</v>
      </c>
      <c r="D122">
        <v>249</v>
      </c>
    </row>
    <row r="123" spans="1:4" x14ac:dyDescent="0.2">
      <c r="A123" s="8" t="s">
        <v>545</v>
      </c>
      <c r="B123">
        <v>100</v>
      </c>
      <c r="C123">
        <v>249</v>
      </c>
      <c r="D123">
        <v>249</v>
      </c>
    </row>
    <row r="124" spans="1:4" x14ac:dyDescent="0.2">
      <c r="A124" s="8" t="s">
        <v>546</v>
      </c>
      <c r="B124">
        <v>100</v>
      </c>
      <c r="C124">
        <v>249</v>
      </c>
      <c r="D124">
        <v>249</v>
      </c>
    </row>
    <row r="125" spans="1:4" x14ac:dyDescent="0.2">
      <c r="A125" s="8" t="s">
        <v>547</v>
      </c>
      <c r="B125">
        <v>100</v>
      </c>
      <c r="C125">
        <v>249</v>
      </c>
      <c r="D125">
        <v>249</v>
      </c>
    </row>
    <row r="126" spans="1:4" x14ac:dyDescent="0.2">
      <c r="A126" s="8" t="s">
        <v>548</v>
      </c>
      <c r="B126">
        <v>100</v>
      </c>
      <c r="C126">
        <v>249</v>
      </c>
      <c r="D126">
        <v>249</v>
      </c>
    </row>
    <row r="127" spans="1:4" x14ac:dyDescent="0.2">
      <c r="A127" s="8" t="s">
        <v>549</v>
      </c>
      <c r="B127">
        <v>100</v>
      </c>
      <c r="C127">
        <v>249</v>
      </c>
      <c r="D127">
        <v>249</v>
      </c>
    </row>
    <row r="128" spans="1:4" x14ac:dyDescent="0.2">
      <c r="A128" s="8" t="s">
        <v>550</v>
      </c>
      <c r="B128">
        <v>100</v>
      </c>
      <c r="C128">
        <v>249</v>
      </c>
      <c r="D128">
        <v>249</v>
      </c>
    </row>
    <row r="129" spans="1:4" x14ac:dyDescent="0.2">
      <c r="A129" s="8" t="s">
        <v>551</v>
      </c>
      <c r="B129">
        <v>100</v>
      </c>
      <c r="C129">
        <v>249</v>
      </c>
      <c r="D129">
        <v>249</v>
      </c>
    </row>
    <row r="130" spans="1:4" x14ac:dyDescent="0.2">
      <c r="A130" s="8" t="s">
        <v>552</v>
      </c>
      <c r="B130">
        <v>100</v>
      </c>
      <c r="C130">
        <v>249</v>
      </c>
      <c r="D130">
        <v>249</v>
      </c>
    </row>
    <row r="131" spans="1:4" x14ac:dyDescent="0.2">
      <c r="A131" s="8" t="s">
        <v>553</v>
      </c>
      <c r="B131">
        <v>100</v>
      </c>
      <c r="C131">
        <v>249</v>
      </c>
      <c r="D131">
        <v>249</v>
      </c>
    </row>
    <row r="132" spans="1:4" x14ac:dyDescent="0.2">
      <c r="A132" s="8" t="s">
        <v>554</v>
      </c>
      <c r="B132">
        <v>100</v>
      </c>
      <c r="C132">
        <v>249</v>
      </c>
      <c r="D132">
        <v>249</v>
      </c>
    </row>
    <row r="133" spans="1:4" x14ac:dyDescent="0.2">
      <c r="A133" s="8" t="s">
        <v>555</v>
      </c>
      <c r="B133">
        <v>100</v>
      </c>
      <c r="C133">
        <v>249</v>
      </c>
      <c r="D133">
        <v>249</v>
      </c>
    </row>
    <row r="134" spans="1:4" x14ac:dyDescent="0.2">
      <c r="A134" s="8" t="s">
        <v>556</v>
      </c>
      <c r="B134">
        <v>100</v>
      </c>
      <c r="C134">
        <v>249</v>
      </c>
      <c r="D134">
        <v>249</v>
      </c>
    </row>
    <row r="135" spans="1:4" x14ac:dyDescent="0.2">
      <c r="A135" s="8" t="s">
        <v>557</v>
      </c>
      <c r="B135">
        <v>100</v>
      </c>
      <c r="C135">
        <v>249</v>
      </c>
      <c r="D135">
        <v>249</v>
      </c>
    </row>
    <row r="136" spans="1:4" x14ac:dyDescent="0.2">
      <c r="A136" s="8" t="s">
        <v>558</v>
      </c>
      <c r="B136">
        <v>100</v>
      </c>
      <c r="C136">
        <v>249</v>
      </c>
      <c r="D136">
        <v>249</v>
      </c>
    </row>
    <row r="137" spans="1:4" x14ac:dyDescent="0.2">
      <c r="A137" s="8" t="s">
        <v>559</v>
      </c>
      <c r="B137">
        <v>100</v>
      </c>
      <c r="C137">
        <v>249</v>
      </c>
      <c r="D137">
        <v>249</v>
      </c>
    </row>
    <row r="138" spans="1:4" x14ac:dyDescent="0.2">
      <c r="A138" s="8" t="s">
        <v>560</v>
      </c>
      <c r="B138">
        <v>100</v>
      </c>
      <c r="C138">
        <v>249</v>
      </c>
      <c r="D138">
        <v>249</v>
      </c>
    </row>
    <row r="139" spans="1:4" x14ac:dyDescent="0.2">
      <c r="A139" s="8" t="s">
        <v>561</v>
      </c>
      <c r="B139">
        <v>100</v>
      </c>
      <c r="C139">
        <v>100</v>
      </c>
      <c r="D139">
        <v>249</v>
      </c>
    </row>
    <row r="140" spans="1:4" x14ac:dyDescent="0.2">
      <c r="A140" s="8" t="s">
        <v>562</v>
      </c>
      <c r="B140">
        <v>100</v>
      </c>
      <c r="C140">
        <v>249</v>
      </c>
      <c r="D140">
        <v>249</v>
      </c>
    </row>
    <row r="141" spans="1:4" x14ac:dyDescent="0.2">
      <c r="A141" s="8" t="s">
        <v>563</v>
      </c>
      <c r="B141">
        <v>100</v>
      </c>
      <c r="C141">
        <v>249</v>
      </c>
      <c r="D141">
        <v>249</v>
      </c>
    </row>
    <row r="142" spans="1:4" x14ac:dyDescent="0.2">
      <c r="A142" s="8" t="s">
        <v>564</v>
      </c>
      <c r="B142">
        <v>100</v>
      </c>
      <c r="C142">
        <v>100</v>
      </c>
      <c r="D142">
        <v>249</v>
      </c>
    </row>
    <row r="143" spans="1:4" x14ac:dyDescent="0.2">
      <c r="A143" s="8" t="s">
        <v>565</v>
      </c>
      <c r="B143">
        <v>100</v>
      </c>
      <c r="C143">
        <v>249</v>
      </c>
      <c r="D143">
        <v>249</v>
      </c>
    </row>
    <row r="144" spans="1:4" x14ac:dyDescent="0.2">
      <c r="A144" s="8" t="s">
        <v>566</v>
      </c>
      <c r="B144">
        <v>100</v>
      </c>
      <c r="C144">
        <v>249</v>
      </c>
      <c r="D144">
        <v>249</v>
      </c>
    </row>
    <row r="145" spans="1:4" x14ac:dyDescent="0.2">
      <c r="A145" s="8" t="s">
        <v>567</v>
      </c>
      <c r="B145">
        <v>100</v>
      </c>
      <c r="C145">
        <v>249</v>
      </c>
      <c r="D145">
        <v>249</v>
      </c>
    </row>
    <row r="146" spans="1:4" x14ac:dyDescent="0.2">
      <c r="A146" s="8" t="s">
        <v>568</v>
      </c>
      <c r="B146">
        <v>100</v>
      </c>
      <c r="C146">
        <v>249</v>
      </c>
      <c r="D146">
        <v>249</v>
      </c>
    </row>
    <row r="147" spans="1:4" x14ac:dyDescent="0.2">
      <c r="A147" s="8" t="s">
        <v>569</v>
      </c>
      <c r="B147">
        <v>100</v>
      </c>
      <c r="C147">
        <v>249</v>
      </c>
      <c r="D147">
        <v>249</v>
      </c>
    </row>
    <row r="148" spans="1:4" x14ac:dyDescent="0.2">
      <c r="A148" s="8" t="s">
        <v>570</v>
      </c>
      <c r="B148">
        <v>100</v>
      </c>
      <c r="C148">
        <v>249</v>
      </c>
      <c r="D148">
        <v>249</v>
      </c>
    </row>
    <row r="149" spans="1:4" x14ac:dyDescent="0.2">
      <c r="A149" s="8" t="s">
        <v>571</v>
      </c>
      <c r="B149">
        <v>100</v>
      </c>
      <c r="C149">
        <v>249</v>
      </c>
      <c r="D149">
        <v>249</v>
      </c>
    </row>
    <row r="150" spans="1:4" x14ac:dyDescent="0.2">
      <c r="A150" s="8" t="s">
        <v>572</v>
      </c>
      <c r="B150">
        <v>100</v>
      </c>
      <c r="C150">
        <v>249</v>
      </c>
      <c r="D150">
        <v>249</v>
      </c>
    </row>
    <row r="151" spans="1:4" x14ac:dyDescent="0.2">
      <c r="A151" s="8" t="s">
        <v>573</v>
      </c>
      <c r="B151">
        <v>100</v>
      </c>
      <c r="C151">
        <v>249</v>
      </c>
      <c r="D151">
        <v>249</v>
      </c>
    </row>
    <row r="152" spans="1:4" x14ac:dyDescent="0.2">
      <c r="A152" s="8" t="s">
        <v>574</v>
      </c>
      <c r="B152">
        <v>100</v>
      </c>
      <c r="C152">
        <v>249</v>
      </c>
      <c r="D152">
        <v>249</v>
      </c>
    </row>
    <row r="153" spans="1:4" x14ac:dyDescent="0.2">
      <c r="A153" s="8" t="s">
        <v>575</v>
      </c>
      <c r="B153">
        <v>100</v>
      </c>
      <c r="C153">
        <v>249</v>
      </c>
      <c r="D153">
        <v>249</v>
      </c>
    </row>
    <row r="154" spans="1:4" x14ac:dyDescent="0.2">
      <c r="A154" s="8" t="s">
        <v>576</v>
      </c>
      <c r="B154">
        <v>100</v>
      </c>
      <c r="C154">
        <v>249</v>
      </c>
      <c r="D154">
        <v>249</v>
      </c>
    </row>
    <row r="155" spans="1:4" x14ac:dyDescent="0.2">
      <c r="A155" s="8" t="s">
        <v>577</v>
      </c>
      <c r="B155">
        <v>100</v>
      </c>
      <c r="C155">
        <v>249</v>
      </c>
      <c r="D155">
        <v>249</v>
      </c>
    </row>
    <row r="156" spans="1:4" x14ac:dyDescent="0.2">
      <c r="A156" s="8" t="s">
        <v>578</v>
      </c>
      <c r="B156">
        <v>100</v>
      </c>
      <c r="C156">
        <v>249</v>
      </c>
      <c r="D156">
        <v>249</v>
      </c>
    </row>
    <row r="157" spans="1:4" x14ac:dyDescent="0.2">
      <c r="A157" s="8" t="s">
        <v>579</v>
      </c>
      <c r="B157">
        <v>100</v>
      </c>
      <c r="C157">
        <v>249</v>
      </c>
      <c r="D157">
        <v>249</v>
      </c>
    </row>
    <row r="158" spans="1:4" x14ac:dyDescent="0.2">
      <c r="A158" s="8" t="s">
        <v>580</v>
      </c>
      <c r="B158">
        <v>100</v>
      </c>
      <c r="C158">
        <v>249</v>
      </c>
      <c r="D158">
        <v>249</v>
      </c>
    </row>
    <row r="159" spans="1:4" x14ac:dyDescent="0.2">
      <c r="A159" s="8" t="s">
        <v>581</v>
      </c>
      <c r="B159">
        <v>100</v>
      </c>
      <c r="C159">
        <v>100</v>
      </c>
      <c r="D159">
        <v>249</v>
      </c>
    </row>
    <row r="160" spans="1:4" x14ac:dyDescent="0.2">
      <c r="A160" s="8" t="s">
        <v>582</v>
      </c>
      <c r="B160">
        <v>100</v>
      </c>
      <c r="C160">
        <v>249</v>
      </c>
      <c r="D160">
        <v>249</v>
      </c>
    </row>
    <row r="161" spans="1:4" x14ac:dyDescent="0.2">
      <c r="A161" s="8" t="s">
        <v>583</v>
      </c>
      <c r="B161">
        <v>100</v>
      </c>
      <c r="C161">
        <v>249</v>
      </c>
      <c r="D161">
        <v>249</v>
      </c>
    </row>
    <row r="162" spans="1:4" x14ac:dyDescent="0.2">
      <c r="A162" s="8" t="s">
        <v>584</v>
      </c>
      <c r="B162">
        <v>100</v>
      </c>
      <c r="C162">
        <v>249</v>
      </c>
      <c r="D162">
        <v>249</v>
      </c>
    </row>
    <row r="163" spans="1:4" x14ac:dyDescent="0.2">
      <c r="A163" s="8" t="s">
        <v>585</v>
      </c>
      <c r="B163">
        <v>100</v>
      </c>
      <c r="C163">
        <v>249</v>
      </c>
      <c r="D163">
        <v>249</v>
      </c>
    </row>
    <row r="164" spans="1:4" x14ac:dyDescent="0.2">
      <c r="A164" s="8" t="s">
        <v>586</v>
      </c>
      <c r="B164">
        <v>100</v>
      </c>
      <c r="C164">
        <v>249</v>
      </c>
      <c r="D164">
        <v>249</v>
      </c>
    </row>
    <row r="165" spans="1:4" x14ac:dyDescent="0.2">
      <c r="A165" s="8" t="s">
        <v>587</v>
      </c>
      <c r="B165">
        <v>100</v>
      </c>
      <c r="C165">
        <v>249</v>
      </c>
      <c r="D165">
        <v>249</v>
      </c>
    </row>
    <row r="166" spans="1:4" x14ac:dyDescent="0.2">
      <c r="A166" s="8" t="s">
        <v>588</v>
      </c>
      <c r="B166">
        <v>100</v>
      </c>
      <c r="C166">
        <v>249</v>
      </c>
      <c r="D166">
        <v>249</v>
      </c>
    </row>
    <row r="167" spans="1:4" x14ac:dyDescent="0.2">
      <c r="A167" s="8" t="s">
        <v>589</v>
      </c>
      <c r="B167">
        <v>100</v>
      </c>
      <c r="C167">
        <v>249</v>
      </c>
      <c r="D167">
        <v>249</v>
      </c>
    </row>
    <row r="168" spans="1:4" x14ac:dyDescent="0.2">
      <c r="A168" s="8" t="s">
        <v>590</v>
      </c>
      <c r="B168">
        <v>100</v>
      </c>
      <c r="C168">
        <v>249</v>
      </c>
      <c r="D168">
        <v>249</v>
      </c>
    </row>
    <row r="169" spans="1:4" x14ac:dyDescent="0.2">
      <c r="A169" s="8" t="s">
        <v>591</v>
      </c>
      <c r="B169">
        <v>100</v>
      </c>
      <c r="C169">
        <v>249</v>
      </c>
      <c r="D169">
        <v>249</v>
      </c>
    </row>
    <row r="170" spans="1:4" x14ac:dyDescent="0.2">
      <c r="A170" s="8" t="s">
        <v>592</v>
      </c>
      <c r="B170">
        <v>100</v>
      </c>
      <c r="C170">
        <v>249</v>
      </c>
      <c r="D170">
        <v>249</v>
      </c>
    </row>
    <row r="171" spans="1:4" x14ac:dyDescent="0.2">
      <c r="A171" s="8" t="s">
        <v>593</v>
      </c>
      <c r="B171">
        <v>100</v>
      </c>
      <c r="C171">
        <v>249</v>
      </c>
      <c r="D171">
        <v>249</v>
      </c>
    </row>
    <row r="172" spans="1:4" x14ac:dyDescent="0.2">
      <c r="A172" s="8" t="s">
        <v>594</v>
      </c>
      <c r="B172">
        <v>100</v>
      </c>
      <c r="C172">
        <v>249</v>
      </c>
      <c r="D172">
        <v>249</v>
      </c>
    </row>
    <row r="173" spans="1:4" x14ac:dyDescent="0.2">
      <c r="A173" s="8" t="s">
        <v>595</v>
      </c>
      <c r="B173">
        <v>100</v>
      </c>
      <c r="C173">
        <v>249</v>
      </c>
      <c r="D173">
        <v>249</v>
      </c>
    </row>
    <row r="174" spans="1:4" x14ac:dyDescent="0.2">
      <c r="A174" s="8" t="s">
        <v>596</v>
      </c>
      <c r="B174">
        <v>100</v>
      </c>
      <c r="C174">
        <v>249</v>
      </c>
      <c r="D174">
        <v>249</v>
      </c>
    </row>
    <row r="175" spans="1:4" x14ac:dyDescent="0.2">
      <c r="A175" s="8" t="s">
        <v>597</v>
      </c>
      <c r="B175">
        <v>100</v>
      </c>
      <c r="C175">
        <v>249</v>
      </c>
      <c r="D175">
        <v>249</v>
      </c>
    </row>
    <row r="176" spans="1:4" x14ac:dyDescent="0.2">
      <c r="A176" s="8" t="s">
        <v>598</v>
      </c>
      <c r="B176">
        <v>100</v>
      </c>
      <c r="C176">
        <v>249</v>
      </c>
      <c r="D176">
        <v>249</v>
      </c>
    </row>
    <row r="177" spans="1:4" x14ac:dyDescent="0.2">
      <c r="A177" s="8" t="s">
        <v>599</v>
      </c>
      <c r="B177">
        <v>100</v>
      </c>
      <c r="C177">
        <v>249</v>
      </c>
      <c r="D177">
        <v>249</v>
      </c>
    </row>
    <row r="178" spans="1:4" x14ac:dyDescent="0.2">
      <c r="A178" s="8" t="s">
        <v>600</v>
      </c>
      <c r="B178">
        <v>100</v>
      </c>
      <c r="C178">
        <v>249</v>
      </c>
      <c r="D178">
        <v>249</v>
      </c>
    </row>
    <row r="179" spans="1:4" x14ac:dyDescent="0.2">
      <c r="A179" s="8" t="s">
        <v>601</v>
      </c>
      <c r="B179">
        <v>100</v>
      </c>
      <c r="C179">
        <v>249</v>
      </c>
      <c r="D179">
        <v>249</v>
      </c>
    </row>
    <row r="180" spans="1:4" x14ac:dyDescent="0.2">
      <c r="A180" s="8" t="s">
        <v>602</v>
      </c>
      <c r="B180">
        <v>100</v>
      </c>
      <c r="C180">
        <v>249</v>
      </c>
      <c r="D180">
        <v>249</v>
      </c>
    </row>
    <row r="181" spans="1:4" x14ac:dyDescent="0.2">
      <c r="A181" s="8" t="s">
        <v>603</v>
      </c>
      <c r="B181">
        <v>100</v>
      </c>
      <c r="C181">
        <v>249</v>
      </c>
      <c r="D181">
        <v>249</v>
      </c>
    </row>
    <row r="182" spans="1:4" x14ac:dyDescent="0.2">
      <c r="A182" s="8" t="s">
        <v>604</v>
      </c>
      <c r="B182">
        <v>100</v>
      </c>
      <c r="C182">
        <v>249</v>
      </c>
      <c r="D182">
        <v>249</v>
      </c>
    </row>
    <row r="183" spans="1:4" x14ac:dyDescent="0.2">
      <c r="A183" s="8" t="s">
        <v>605</v>
      </c>
      <c r="B183">
        <v>100</v>
      </c>
      <c r="C183">
        <v>100</v>
      </c>
      <c r="D183">
        <v>249</v>
      </c>
    </row>
    <row r="184" spans="1:4" x14ac:dyDescent="0.2">
      <c r="A184" s="8" t="s">
        <v>606</v>
      </c>
      <c r="B184">
        <v>100</v>
      </c>
      <c r="C184">
        <v>249</v>
      </c>
      <c r="D184">
        <v>249</v>
      </c>
    </row>
    <row r="185" spans="1:4" x14ac:dyDescent="0.2">
      <c r="A185" s="8" t="s">
        <v>607</v>
      </c>
      <c r="B185">
        <v>100</v>
      </c>
      <c r="C185">
        <v>249</v>
      </c>
      <c r="D185">
        <v>249</v>
      </c>
    </row>
    <row r="186" spans="1:4" x14ac:dyDescent="0.2">
      <c r="A186" s="8" t="s">
        <v>608</v>
      </c>
      <c r="B186">
        <v>100</v>
      </c>
      <c r="C186">
        <v>249</v>
      </c>
      <c r="D186">
        <v>249</v>
      </c>
    </row>
    <row r="187" spans="1:4" x14ac:dyDescent="0.2">
      <c r="A187" s="8" t="s">
        <v>609</v>
      </c>
      <c r="B187">
        <v>100</v>
      </c>
      <c r="C187">
        <v>249</v>
      </c>
      <c r="D187">
        <v>249</v>
      </c>
    </row>
    <row r="188" spans="1:4" x14ac:dyDescent="0.2">
      <c r="A188" s="8" t="s">
        <v>95</v>
      </c>
      <c r="B188">
        <v>100</v>
      </c>
      <c r="C188">
        <v>249</v>
      </c>
      <c r="D188">
        <v>249</v>
      </c>
    </row>
    <row r="189" spans="1:4" x14ac:dyDescent="0.2">
      <c r="A189" s="8" t="s">
        <v>610</v>
      </c>
      <c r="B189">
        <v>100</v>
      </c>
      <c r="C189">
        <v>249</v>
      </c>
      <c r="D189">
        <v>249</v>
      </c>
    </row>
    <row r="190" spans="1:4" x14ac:dyDescent="0.2">
      <c r="A190" s="8" t="s">
        <v>611</v>
      </c>
      <c r="B190">
        <v>100</v>
      </c>
      <c r="C190">
        <v>249</v>
      </c>
      <c r="D190">
        <v>249</v>
      </c>
    </row>
    <row r="191" spans="1:4" x14ac:dyDescent="0.2">
      <c r="A191" s="8" t="s">
        <v>612</v>
      </c>
      <c r="B191">
        <v>100</v>
      </c>
      <c r="C191">
        <v>249</v>
      </c>
      <c r="D191">
        <v>249</v>
      </c>
    </row>
    <row r="192" spans="1:4" x14ac:dyDescent="0.2">
      <c r="A192" s="8" t="s">
        <v>613</v>
      </c>
      <c r="B192">
        <v>100</v>
      </c>
      <c r="C192">
        <v>249</v>
      </c>
      <c r="D192">
        <v>249</v>
      </c>
    </row>
    <row r="193" spans="1:4" x14ac:dyDescent="0.2">
      <c r="A193" s="8" t="s">
        <v>614</v>
      </c>
      <c r="B193">
        <v>100</v>
      </c>
      <c r="C193">
        <v>249</v>
      </c>
      <c r="D193">
        <v>249</v>
      </c>
    </row>
    <row r="194" spans="1:4" x14ac:dyDescent="0.2">
      <c r="A194" s="8" t="s">
        <v>615</v>
      </c>
      <c r="B194">
        <v>100</v>
      </c>
      <c r="C194">
        <v>249</v>
      </c>
      <c r="D194">
        <v>249</v>
      </c>
    </row>
    <row r="195" spans="1:4" x14ac:dyDescent="0.2">
      <c r="A195" s="8" t="s">
        <v>616</v>
      </c>
      <c r="B195">
        <v>100</v>
      </c>
      <c r="C195">
        <v>249</v>
      </c>
      <c r="D195">
        <v>249</v>
      </c>
    </row>
    <row r="196" spans="1:4" x14ac:dyDescent="0.2">
      <c r="A196" s="8" t="s">
        <v>617</v>
      </c>
      <c r="B196">
        <v>100</v>
      </c>
      <c r="C196">
        <v>249</v>
      </c>
      <c r="D196">
        <v>249</v>
      </c>
    </row>
    <row r="197" spans="1:4" x14ac:dyDescent="0.2">
      <c r="A197" s="8" t="s">
        <v>618</v>
      </c>
      <c r="B197">
        <v>100</v>
      </c>
      <c r="C197">
        <v>100</v>
      </c>
      <c r="D197">
        <v>249</v>
      </c>
    </row>
    <row r="198" spans="1:4" x14ac:dyDescent="0.2">
      <c r="A198" s="8" t="s">
        <v>619</v>
      </c>
      <c r="B198">
        <v>100</v>
      </c>
      <c r="C198">
        <v>249</v>
      </c>
      <c r="D198">
        <v>249</v>
      </c>
    </row>
    <row r="199" spans="1:4" x14ac:dyDescent="0.2">
      <c r="A199" s="8" t="s">
        <v>620</v>
      </c>
      <c r="B199">
        <v>100</v>
      </c>
      <c r="C199">
        <v>249</v>
      </c>
      <c r="D199">
        <v>249</v>
      </c>
    </row>
    <row r="200" spans="1:4" x14ac:dyDescent="0.2">
      <c r="A200" s="8" t="s">
        <v>621</v>
      </c>
      <c r="B200">
        <v>100</v>
      </c>
      <c r="C200">
        <v>249</v>
      </c>
      <c r="D200">
        <v>249</v>
      </c>
    </row>
    <row r="201" spans="1:4" x14ac:dyDescent="0.2">
      <c r="A201" s="8" t="s">
        <v>622</v>
      </c>
      <c r="B201">
        <v>100</v>
      </c>
      <c r="C201">
        <v>249</v>
      </c>
      <c r="D201">
        <v>249</v>
      </c>
    </row>
    <row r="202" spans="1:4" x14ac:dyDescent="0.2">
      <c r="A202" s="8" t="s">
        <v>623</v>
      </c>
      <c r="B202">
        <v>100</v>
      </c>
      <c r="C202">
        <v>249</v>
      </c>
      <c r="D202">
        <v>249</v>
      </c>
    </row>
    <row r="203" spans="1:4" x14ac:dyDescent="0.2">
      <c r="A203" s="8" t="s">
        <v>624</v>
      </c>
      <c r="B203">
        <v>100</v>
      </c>
      <c r="C203">
        <v>249</v>
      </c>
      <c r="D203">
        <v>249</v>
      </c>
    </row>
    <row r="204" spans="1:4" x14ac:dyDescent="0.2">
      <c r="A204" s="8" t="s">
        <v>625</v>
      </c>
      <c r="B204">
        <v>100</v>
      </c>
      <c r="C204">
        <v>249</v>
      </c>
      <c r="D204">
        <v>249</v>
      </c>
    </row>
    <row r="205" spans="1:4" x14ac:dyDescent="0.2">
      <c r="A205" s="8" t="s">
        <v>626</v>
      </c>
      <c r="B205">
        <v>100</v>
      </c>
      <c r="C205">
        <v>249</v>
      </c>
      <c r="D205">
        <v>249</v>
      </c>
    </row>
    <row r="206" spans="1:4" x14ac:dyDescent="0.2">
      <c r="A206" s="8" t="s">
        <v>627</v>
      </c>
      <c r="B206">
        <v>100</v>
      </c>
      <c r="C206">
        <v>249</v>
      </c>
      <c r="D206">
        <v>249</v>
      </c>
    </row>
    <row r="207" spans="1:4" x14ac:dyDescent="0.2">
      <c r="A207" s="8" t="s">
        <v>628</v>
      </c>
      <c r="B207">
        <v>100</v>
      </c>
      <c r="C207">
        <v>249</v>
      </c>
      <c r="D207">
        <v>249</v>
      </c>
    </row>
    <row r="208" spans="1:4" x14ac:dyDescent="0.2">
      <c r="A208" s="8" t="s">
        <v>629</v>
      </c>
      <c r="B208">
        <v>100</v>
      </c>
      <c r="C208">
        <v>249</v>
      </c>
      <c r="D208">
        <v>249</v>
      </c>
    </row>
    <row r="209" spans="1:4" x14ac:dyDescent="0.2">
      <c r="A209" s="8" t="s">
        <v>630</v>
      </c>
      <c r="B209">
        <v>100</v>
      </c>
      <c r="C209">
        <v>249</v>
      </c>
      <c r="D209">
        <v>249</v>
      </c>
    </row>
    <row r="210" spans="1:4" x14ac:dyDescent="0.2">
      <c r="A210" s="8" t="s">
        <v>631</v>
      </c>
      <c r="B210">
        <v>100</v>
      </c>
      <c r="C210">
        <v>249</v>
      </c>
      <c r="D210">
        <v>249</v>
      </c>
    </row>
    <row r="211" spans="1:4" x14ac:dyDescent="0.2">
      <c r="A211" s="8" t="s">
        <v>632</v>
      </c>
      <c r="B211">
        <v>100</v>
      </c>
      <c r="C211">
        <v>249</v>
      </c>
      <c r="D211">
        <v>249</v>
      </c>
    </row>
    <row r="212" spans="1:4" x14ac:dyDescent="0.2">
      <c r="A212" s="8" t="s">
        <v>633</v>
      </c>
      <c r="B212">
        <v>100</v>
      </c>
      <c r="C212">
        <v>100</v>
      </c>
      <c r="D212">
        <v>249</v>
      </c>
    </row>
    <row r="213" spans="1:4" x14ac:dyDescent="0.2">
      <c r="A213" s="8" t="s">
        <v>634</v>
      </c>
      <c r="B213">
        <v>100</v>
      </c>
      <c r="C213">
        <v>249</v>
      </c>
      <c r="D213">
        <v>249</v>
      </c>
    </row>
    <row r="214" spans="1:4" x14ac:dyDescent="0.2">
      <c r="A214" s="8" t="s">
        <v>635</v>
      </c>
      <c r="B214">
        <v>100</v>
      </c>
      <c r="C214">
        <v>249</v>
      </c>
      <c r="D214">
        <v>249</v>
      </c>
    </row>
    <row r="215" spans="1:4" x14ac:dyDescent="0.2">
      <c r="A215" s="8" t="s">
        <v>636</v>
      </c>
      <c r="B215">
        <v>100</v>
      </c>
      <c r="C215">
        <v>249</v>
      </c>
      <c r="D215">
        <v>249</v>
      </c>
    </row>
    <row r="216" spans="1:4" x14ac:dyDescent="0.2">
      <c r="A216" s="8" t="s">
        <v>637</v>
      </c>
      <c r="B216">
        <v>100</v>
      </c>
      <c r="C216">
        <v>249</v>
      </c>
      <c r="D216">
        <v>249</v>
      </c>
    </row>
    <row r="217" spans="1:4" x14ac:dyDescent="0.2">
      <c r="A217" s="8" t="s">
        <v>638</v>
      </c>
      <c r="B217">
        <v>100</v>
      </c>
      <c r="C217">
        <v>249</v>
      </c>
      <c r="D217">
        <v>249</v>
      </c>
    </row>
    <row r="218" spans="1:4" x14ac:dyDescent="0.2">
      <c r="A218" s="8" t="s">
        <v>639</v>
      </c>
      <c r="B218">
        <v>100</v>
      </c>
      <c r="C218">
        <v>249</v>
      </c>
      <c r="D218">
        <v>249</v>
      </c>
    </row>
    <row r="219" spans="1:4" x14ac:dyDescent="0.2">
      <c r="A219" s="8" t="s">
        <v>640</v>
      </c>
      <c r="B219">
        <v>100</v>
      </c>
      <c r="C219">
        <v>249</v>
      </c>
      <c r="D219">
        <v>249</v>
      </c>
    </row>
    <row r="220" spans="1:4" x14ac:dyDescent="0.2">
      <c r="A220" s="8" t="s">
        <v>641</v>
      </c>
      <c r="B220">
        <v>100</v>
      </c>
      <c r="C220">
        <v>249</v>
      </c>
      <c r="D220">
        <v>249</v>
      </c>
    </row>
    <row r="221" spans="1:4" x14ac:dyDescent="0.2">
      <c r="A221" s="8" t="s">
        <v>642</v>
      </c>
      <c r="B221">
        <v>100</v>
      </c>
      <c r="C221">
        <v>249</v>
      </c>
      <c r="D221">
        <v>249</v>
      </c>
    </row>
    <row r="222" spans="1:4" x14ac:dyDescent="0.2">
      <c r="A222" s="8" t="s">
        <v>643</v>
      </c>
      <c r="B222">
        <v>100</v>
      </c>
      <c r="C222">
        <v>249</v>
      </c>
      <c r="D222">
        <v>249</v>
      </c>
    </row>
    <row r="223" spans="1:4" x14ac:dyDescent="0.2">
      <c r="A223" s="8" t="s">
        <v>644</v>
      </c>
      <c r="B223">
        <v>100</v>
      </c>
      <c r="C223">
        <v>249</v>
      </c>
      <c r="D223">
        <v>249</v>
      </c>
    </row>
    <row r="224" spans="1:4" x14ac:dyDescent="0.2">
      <c r="A224" s="8" t="s">
        <v>645</v>
      </c>
      <c r="B224">
        <v>100</v>
      </c>
      <c r="C224">
        <v>249</v>
      </c>
      <c r="D224">
        <v>249</v>
      </c>
    </row>
    <row r="225" spans="1:4" x14ac:dyDescent="0.2">
      <c r="A225" s="8" t="s">
        <v>646</v>
      </c>
      <c r="B225">
        <v>100</v>
      </c>
      <c r="C225">
        <v>249</v>
      </c>
      <c r="D225">
        <v>249</v>
      </c>
    </row>
    <row r="226" spans="1:4" x14ac:dyDescent="0.2">
      <c r="A226" s="8" t="s">
        <v>647</v>
      </c>
      <c r="B226">
        <v>100</v>
      </c>
      <c r="C226">
        <v>249</v>
      </c>
      <c r="D226">
        <v>249</v>
      </c>
    </row>
    <row r="227" spans="1:4" x14ac:dyDescent="0.2">
      <c r="A227" s="8" t="s">
        <v>648</v>
      </c>
      <c r="B227">
        <v>100</v>
      </c>
      <c r="C227">
        <v>249</v>
      </c>
      <c r="D227">
        <v>249</v>
      </c>
    </row>
    <row r="228" spans="1:4" x14ac:dyDescent="0.2">
      <c r="A228" s="8" t="s">
        <v>649</v>
      </c>
      <c r="B228">
        <v>100</v>
      </c>
      <c r="C228">
        <v>249</v>
      </c>
      <c r="D228">
        <v>249</v>
      </c>
    </row>
    <row r="229" spans="1:4" x14ac:dyDescent="0.2">
      <c r="A229" s="8" t="s">
        <v>650</v>
      </c>
      <c r="B229">
        <v>100</v>
      </c>
      <c r="C229">
        <v>249</v>
      </c>
      <c r="D229">
        <v>249</v>
      </c>
    </row>
    <row r="230" spans="1:4" x14ac:dyDescent="0.2">
      <c r="A230" s="8" t="s">
        <v>651</v>
      </c>
      <c r="B230">
        <v>100</v>
      </c>
      <c r="C230">
        <v>249</v>
      </c>
      <c r="D230">
        <v>249</v>
      </c>
    </row>
    <row r="231" spans="1:4" x14ac:dyDescent="0.2">
      <c r="A231" s="8" t="s">
        <v>652</v>
      </c>
      <c r="B231">
        <v>100</v>
      </c>
      <c r="C231">
        <v>249</v>
      </c>
      <c r="D231">
        <v>249</v>
      </c>
    </row>
    <row r="232" spans="1:4" x14ac:dyDescent="0.2">
      <c r="A232" s="8" t="s">
        <v>653</v>
      </c>
      <c r="B232">
        <v>100</v>
      </c>
      <c r="C232">
        <v>249</v>
      </c>
      <c r="D232">
        <v>249</v>
      </c>
    </row>
    <row r="233" spans="1:4" x14ac:dyDescent="0.2">
      <c r="A233" s="8" t="s">
        <v>654</v>
      </c>
      <c r="B233">
        <v>100</v>
      </c>
      <c r="C233">
        <v>100</v>
      </c>
      <c r="D233">
        <v>249</v>
      </c>
    </row>
    <row r="234" spans="1:4" x14ac:dyDescent="0.2">
      <c r="A234" s="8" t="s">
        <v>655</v>
      </c>
      <c r="B234">
        <v>100</v>
      </c>
      <c r="C234">
        <v>249</v>
      </c>
      <c r="D234">
        <v>249</v>
      </c>
    </row>
    <row r="235" spans="1:4" x14ac:dyDescent="0.2">
      <c r="A235" s="8" t="s">
        <v>656</v>
      </c>
      <c r="B235">
        <v>100</v>
      </c>
      <c r="C235">
        <v>249</v>
      </c>
      <c r="D235">
        <v>249</v>
      </c>
    </row>
    <row r="236" spans="1:4" x14ac:dyDescent="0.2">
      <c r="A236" s="8" t="s">
        <v>657</v>
      </c>
      <c r="B236">
        <v>100</v>
      </c>
      <c r="C236">
        <v>249</v>
      </c>
      <c r="D236">
        <v>249</v>
      </c>
    </row>
    <row r="237" spans="1:4" x14ac:dyDescent="0.2">
      <c r="A237" s="8" t="s">
        <v>658</v>
      </c>
      <c r="B237">
        <v>100</v>
      </c>
      <c r="C237">
        <v>249</v>
      </c>
      <c r="D237">
        <v>249</v>
      </c>
    </row>
    <row r="238" spans="1:4" x14ac:dyDescent="0.2">
      <c r="A238" s="8" t="s">
        <v>659</v>
      </c>
      <c r="B238">
        <v>100</v>
      </c>
      <c r="C238">
        <v>249</v>
      </c>
      <c r="D238">
        <v>249</v>
      </c>
    </row>
    <row r="239" spans="1:4" x14ac:dyDescent="0.2">
      <c r="A239" s="8" t="s">
        <v>660</v>
      </c>
      <c r="B239">
        <v>100</v>
      </c>
      <c r="C239">
        <v>249</v>
      </c>
      <c r="D239">
        <v>249</v>
      </c>
    </row>
    <row r="240" spans="1:4" x14ac:dyDescent="0.2">
      <c r="A240" s="8" t="s">
        <v>661</v>
      </c>
      <c r="B240">
        <v>100</v>
      </c>
      <c r="C240">
        <v>249</v>
      </c>
      <c r="D240">
        <v>249</v>
      </c>
    </row>
    <row r="241" spans="1:4" x14ac:dyDescent="0.2">
      <c r="A241" s="8" t="s">
        <v>662</v>
      </c>
      <c r="B241">
        <v>100</v>
      </c>
      <c r="C241">
        <v>249</v>
      </c>
      <c r="D241">
        <v>249</v>
      </c>
    </row>
    <row r="242" spans="1:4" x14ac:dyDescent="0.2">
      <c r="A242" s="8" t="s">
        <v>663</v>
      </c>
      <c r="B242">
        <v>100</v>
      </c>
      <c r="C242">
        <v>249</v>
      </c>
      <c r="D242">
        <v>249</v>
      </c>
    </row>
    <row r="243" spans="1:4" x14ac:dyDescent="0.2">
      <c r="A243" s="8" t="s">
        <v>664</v>
      </c>
      <c r="B243">
        <v>100</v>
      </c>
      <c r="C243">
        <v>249</v>
      </c>
      <c r="D243">
        <v>249</v>
      </c>
    </row>
    <row r="244" spans="1:4" x14ac:dyDescent="0.2">
      <c r="A244" s="8" t="s">
        <v>665</v>
      </c>
      <c r="B244">
        <v>100</v>
      </c>
      <c r="C244">
        <v>249</v>
      </c>
      <c r="D244">
        <v>249</v>
      </c>
    </row>
    <row r="245" spans="1:4" x14ac:dyDescent="0.2">
      <c r="A245" s="8" t="s">
        <v>666</v>
      </c>
      <c r="B245">
        <v>100</v>
      </c>
      <c r="C245">
        <v>249</v>
      </c>
      <c r="D245">
        <v>249</v>
      </c>
    </row>
    <row r="246" spans="1:4" x14ac:dyDescent="0.2">
      <c r="A246" s="8" t="s">
        <v>667</v>
      </c>
      <c r="B246">
        <v>100</v>
      </c>
      <c r="C246">
        <v>249</v>
      </c>
      <c r="D246">
        <v>249</v>
      </c>
    </row>
    <row r="247" spans="1:4" x14ac:dyDescent="0.2">
      <c r="A247" s="8" t="s">
        <v>668</v>
      </c>
      <c r="B247">
        <v>100</v>
      </c>
      <c r="C247">
        <v>249</v>
      </c>
      <c r="D247">
        <v>249</v>
      </c>
    </row>
    <row r="248" spans="1:4" x14ac:dyDescent="0.2">
      <c r="A248" s="8" t="s">
        <v>669</v>
      </c>
      <c r="B248">
        <v>100</v>
      </c>
      <c r="C248">
        <v>249</v>
      </c>
      <c r="D248">
        <v>249</v>
      </c>
    </row>
    <row r="249" spans="1:4" x14ac:dyDescent="0.2">
      <c r="A249" s="8" t="s">
        <v>670</v>
      </c>
      <c r="B249">
        <v>100</v>
      </c>
      <c r="C249">
        <v>249</v>
      </c>
      <c r="D249">
        <v>249</v>
      </c>
    </row>
    <row r="250" spans="1:4" x14ac:dyDescent="0.2">
      <c r="A250" s="8" t="s">
        <v>671</v>
      </c>
      <c r="B250">
        <v>100</v>
      </c>
      <c r="C250">
        <v>100</v>
      </c>
      <c r="D250">
        <v>249</v>
      </c>
    </row>
    <row r="251" spans="1:4" x14ac:dyDescent="0.2">
      <c r="A251" s="8" t="s">
        <v>672</v>
      </c>
      <c r="B251">
        <v>100</v>
      </c>
      <c r="C251">
        <v>249</v>
      </c>
      <c r="D251">
        <v>249</v>
      </c>
    </row>
    <row r="252" spans="1:4" x14ac:dyDescent="0.2">
      <c r="A252" s="8" t="s">
        <v>673</v>
      </c>
      <c r="B252">
        <v>100</v>
      </c>
      <c r="C252">
        <v>249</v>
      </c>
      <c r="D252">
        <v>249</v>
      </c>
    </row>
    <row r="253" spans="1:4" x14ac:dyDescent="0.2">
      <c r="A253" s="8" t="s">
        <v>674</v>
      </c>
      <c r="B253">
        <v>100</v>
      </c>
      <c r="C253">
        <v>249</v>
      </c>
      <c r="D253">
        <v>249</v>
      </c>
    </row>
    <row r="254" spans="1:4" x14ac:dyDescent="0.2">
      <c r="A254" s="8" t="s">
        <v>675</v>
      </c>
      <c r="B254">
        <v>100</v>
      </c>
      <c r="C254">
        <v>249</v>
      </c>
      <c r="D254">
        <v>249</v>
      </c>
    </row>
    <row r="255" spans="1:4" x14ac:dyDescent="0.2">
      <c r="A255" s="8" t="s">
        <v>676</v>
      </c>
      <c r="B255">
        <v>100</v>
      </c>
      <c r="C255">
        <v>249</v>
      </c>
      <c r="D255">
        <v>249</v>
      </c>
    </row>
    <row r="256" spans="1:4" x14ac:dyDescent="0.2">
      <c r="A256" s="8" t="s">
        <v>677</v>
      </c>
      <c r="B256">
        <v>100</v>
      </c>
      <c r="C256">
        <v>249</v>
      </c>
      <c r="D256">
        <v>249</v>
      </c>
    </row>
    <row r="257" spans="1:4" x14ac:dyDescent="0.2">
      <c r="A257" s="8" t="s">
        <v>678</v>
      </c>
      <c r="B257">
        <v>100</v>
      </c>
      <c r="C257">
        <v>249</v>
      </c>
      <c r="D257">
        <v>249</v>
      </c>
    </row>
    <row r="258" spans="1:4" x14ac:dyDescent="0.2">
      <c r="A258" s="8" t="s">
        <v>679</v>
      </c>
      <c r="B258">
        <v>100</v>
      </c>
      <c r="C258">
        <v>249</v>
      </c>
      <c r="D258">
        <v>249</v>
      </c>
    </row>
    <row r="259" spans="1:4" x14ac:dyDescent="0.2">
      <c r="A259" s="8" t="s">
        <v>680</v>
      </c>
      <c r="B259">
        <v>100</v>
      </c>
      <c r="C259">
        <v>249</v>
      </c>
      <c r="D259">
        <v>249</v>
      </c>
    </row>
    <row r="260" spans="1:4" x14ac:dyDescent="0.2">
      <c r="A260" s="8" t="s">
        <v>681</v>
      </c>
      <c r="B260">
        <v>100</v>
      </c>
      <c r="C260">
        <v>249</v>
      </c>
      <c r="D260">
        <v>249</v>
      </c>
    </row>
    <row r="261" spans="1:4" x14ac:dyDescent="0.2">
      <c r="A261" s="8" t="s">
        <v>682</v>
      </c>
      <c r="B261">
        <v>100</v>
      </c>
      <c r="C261">
        <v>249</v>
      </c>
      <c r="D261">
        <v>249</v>
      </c>
    </row>
    <row r="262" spans="1:4" x14ac:dyDescent="0.2">
      <c r="A262" s="8" t="s">
        <v>683</v>
      </c>
      <c r="B262">
        <v>100</v>
      </c>
      <c r="C262">
        <v>100</v>
      </c>
      <c r="D262">
        <v>249</v>
      </c>
    </row>
    <row r="263" spans="1:4" x14ac:dyDescent="0.2">
      <c r="A263" s="8" t="s">
        <v>684</v>
      </c>
      <c r="B263">
        <v>100</v>
      </c>
      <c r="C263">
        <v>249</v>
      </c>
      <c r="D263">
        <v>249</v>
      </c>
    </row>
    <row r="264" spans="1:4" x14ac:dyDescent="0.2">
      <c r="A264" s="8" t="s">
        <v>685</v>
      </c>
      <c r="B264">
        <v>100</v>
      </c>
      <c r="C264">
        <v>249</v>
      </c>
      <c r="D264">
        <v>249</v>
      </c>
    </row>
    <row r="265" spans="1:4" x14ac:dyDescent="0.2">
      <c r="A265" s="8" t="s">
        <v>686</v>
      </c>
      <c r="B265">
        <v>100</v>
      </c>
      <c r="C265">
        <v>249</v>
      </c>
      <c r="D265">
        <v>249</v>
      </c>
    </row>
    <row r="266" spans="1:4" x14ac:dyDescent="0.2">
      <c r="A266" s="8" t="s">
        <v>687</v>
      </c>
      <c r="B266">
        <v>100</v>
      </c>
      <c r="C266">
        <v>249</v>
      </c>
      <c r="D266">
        <v>249</v>
      </c>
    </row>
    <row r="267" spans="1:4" x14ac:dyDescent="0.2">
      <c r="A267" s="8" t="s">
        <v>688</v>
      </c>
      <c r="B267">
        <v>100</v>
      </c>
      <c r="C267">
        <v>249</v>
      </c>
      <c r="D267">
        <v>249</v>
      </c>
    </row>
  </sheetData>
  <sheetProtection algorithmName="SHA-512" hashValue="EEeMIvs18drgtzmYPfd1zHCzjNBG8FpdpBXtE8ZkMKn0A/h6IYnKlwVWmvMrc6kV3dmTHt+WXTGnMqd5xkKGQQ==" saltValue="aeJbNXJq8DlBogZjadQcSQ==" spinCount="100000" sheet="1" objects="1" scenarios="1" formatColumns="0" formatRows="0" autoFilter="0"/>
  <autoFilter ref="A13:D267" xr:uid="{9CEDF12D-0707-485C-8CD3-E1D05B3485E7}"/>
  <mergeCells count="1">
    <mergeCell ref="Z13:AN13"/>
  </mergeCells>
  <conditionalFormatting sqref="A61:D65 A69:D73 A77:A81">
    <cfRule type="expression" dxfId="8" priority="475">
      <formula>AND(#REF!=0,#REF!)</formula>
    </cfRule>
  </conditionalFormatting>
  <conditionalFormatting sqref="A43:F43 A44:D47 F46:F47 A48:F48 A49:D58 E52:F54 E55 F56 E58:F59">
    <cfRule type="expression" priority="474">
      <formula>AND(#REF!=FALSE,#REF!=FALSE)</formula>
    </cfRule>
  </conditionalFormatting>
  <conditionalFormatting sqref="B77:B81">
    <cfRule type="expression" dxfId="7" priority="479">
      <formula>AND(#REF!=0,#REF!)</formula>
    </cfRule>
  </conditionalFormatting>
  <conditionalFormatting sqref="C77:C81 D78 D80:D81">
    <cfRule type="expression" dxfId="6" priority="482">
      <formula>AND(#REF!=0,#REF!)</formula>
    </cfRule>
  </conditionalFormatting>
  <conditionalFormatting sqref="D77 D79">
    <cfRule type="expression" dxfId="5" priority="480">
      <formula>AND(#REF!=0,#REF!)</formula>
    </cfRule>
  </conditionalFormatting>
  <conditionalFormatting sqref="E44">
    <cfRule type="expression" priority="16">
      <formula>AND(#REF!=FALSE,#REF!=FALSE)</formula>
    </cfRule>
  </conditionalFormatting>
  <conditionalFormatting sqref="E45">
    <cfRule type="expression" priority="23">
      <formula>AND(#REF!=FALSE,#REF!=FALSE)</formula>
    </cfRule>
  </conditionalFormatting>
  <conditionalFormatting sqref="E46:E47">
    <cfRule type="expression" dxfId="4" priority="22">
      <formula>$N46</formula>
    </cfRule>
  </conditionalFormatting>
  <conditionalFormatting sqref="E51">
    <cfRule type="expression" priority="18">
      <formula>AND(#REF!=FALSE,#REF!=FALSE)</formula>
    </cfRule>
  </conditionalFormatting>
  <conditionalFormatting sqref="E56:E57">
    <cfRule type="expression" priority="10">
      <formula>AND(#REF!=FALSE,#REF!=FALSE)</formula>
    </cfRule>
  </conditionalFormatting>
  <conditionalFormatting sqref="E70">
    <cfRule type="expression" priority="8">
      <formula>AND(#REF!=FALSE,#REF!=FALSE)</formula>
    </cfRule>
  </conditionalFormatting>
  <conditionalFormatting sqref="E71:F74">
    <cfRule type="expression" priority="3">
      <formula>AND(#REF!=FALSE,#REF!=FALSE)</formula>
    </cfRule>
  </conditionalFormatting>
  <conditionalFormatting sqref="E49:N49">
    <cfRule type="expression" priority="12">
      <formula>AND(#REF!=FALSE,#REF!=FALSE)</formula>
    </cfRule>
  </conditionalFormatting>
  <conditionalFormatting sqref="F55">
    <cfRule type="expression" priority="17">
      <formula>AND(#REF!=FALSE,#REF!=FALSE)</formula>
    </cfRule>
  </conditionalFormatting>
  <conditionalFormatting sqref="F57">
    <cfRule type="expression" priority="14">
      <formula>AND(#REF!=FALSE,#REF!=FALSE)</formula>
    </cfRule>
  </conditionalFormatting>
  <conditionalFormatting sqref="F62">
    <cfRule type="expression" priority="11">
      <formula>AND(#REF!=FALSE,#REF!=FALSE)</formula>
    </cfRule>
  </conditionalFormatting>
  <conditionalFormatting sqref="F45:N45">
    <cfRule type="expression" dxfId="3" priority="24">
      <formula>$N45</formula>
    </cfRule>
  </conditionalFormatting>
  <conditionalFormatting sqref="G46:N46">
    <cfRule type="expression" priority="21">
      <formula>AND(#REF!=FALSE,#REF!=FALSE)</formula>
    </cfRule>
  </conditionalFormatting>
  <conditionalFormatting sqref="G47:N48">
    <cfRule type="expression" priority="19">
      <formula>AND(#REF!=FALSE,#REF!=FALSE)</formula>
    </cfRule>
  </conditionalFormatting>
  <dataValidations disablePrompts="1" count="1">
    <dataValidation allowBlank="1" showErrorMessage="1" prompt="This cell intentionally left blank for internal comments. All internal comments must be submitted prior to application submittal." sqref="AP14:AP17" xr:uid="{527CBDE9-338C-404B-9C89-96A99EBBA85D}"/>
  </dataValidations>
  <hyperlinks>
    <hyperlink ref="D9" r:id="rId1" xr:uid="{1DDF4DC3-E716-4416-91F9-38F1E6E11B1C}"/>
    <hyperlink ref="F9" r:id="rId2" xr:uid="{C7D3E22D-FE15-4783-8132-A57041A9521E}"/>
  </hyperlinks>
  <pageMargins left="0.25" right="0.25" top="0.57395833333333302" bottom="0.61354166666666698" header="0.3" footer="0.3"/>
  <pageSetup scale="73" orientation="portrait" r:id="rId3"/>
  <headerFooter>
    <oddHeader>&amp;C&amp;"Arial,Regular"Engine Power Generation RAP Application</oddHeader>
    <oddFooter>&amp;L&amp;"Arial,Regular"Version: 1.0&amp;C&amp;"Arial,Regular"Sheet: &amp;A&amp;R&amp;"Arial,Regular"Page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659B-4701-4AE8-8F3C-932E7D8F664D}">
  <sheetPr codeName="Sheet5">
    <tabColor theme="1"/>
  </sheetPr>
  <dimension ref="A1:J10"/>
  <sheetViews>
    <sheetView zoomScaleNormal="100" workbookViewId="0">
      <selection sqref="A1:I1"/>
    </sheetView>
  </sheetViews>
  <sheetFormatPr defaultColWidth="0" defaultRowHeight="14.25" x14ac:dyDescent="0.2"/>
  <cols>
    <col min="1" max="1" width="14.625" customWidth="1"/>
    <col min="2" max="2" width="12.25" customWidth="1"/>
    <col min="3" max="3" width="14.5" customWidth="1"/>
    <col min="4" max="6" width="12.25" customWidth="1"/>
    <col min="7" max="7" width="14.875" customWidth="1"/>
    <col min="8" max="9" width="12.25" customWidth="1"/>
    <col min="10" max="10" width="40.625" customWidth="1"/>
    <col min="11" max="11" width="2.625" customWidth="1"/>
  </cols>
  <sheetData>
    <row r="1" spans="1:10" ht="18.75" customHeight="1" thickBot="1" x14ac:dyDescent="0.25">
      <c r="A1" s="1012" t="s">
        <v>1057</v>
      </c>
      <c r="B1" s="1013"/>
      <c r="C1" s="1013"/>
      <c r="D1" s="1013"/>
      <c r="E1" s="1013"/>
      <c r="F1" s="1013"/>
      <c r="G1" s="1013"/>
      <c r="H1" s="1013"/>
      <c r="I1" s="1014"/>
      <c r="J1" s="133" t="s">
        <v>60</v>
      </c>
    </row>
    <row r="2" spans="1:10" ht="162" customHeight="1" thickBot="1" x14ac:dyDescent="0.25">
      <c r="A2" s="762" t="s">
        <v>206</v>
      </c>
      <c r="B2" s="763"/>
      <c r="C2" s="763"/>
      <c r="D2" s="763"/>
      <c r="E2" s="763"/>
      <c r="F2" s="763"/>
      <c r="G2" s="763"/>
      <c r="H2" s="763"/>
      <c r="I2" s="764"/>
      <c r="J2" s="134" t="s">
        <v>63</v>
      </c>
    </row>
    <row r="3" spans="1:10" x14ac:dyDescent="0.2">
      <c r="A3" s="1043" t="s">
        <v>1013</v>
      </c>
      <c r="B3" s="1044"/>
      <c r="C3" s="1044"/>
      <c r="D3" s="1044"/>
      <c r="E3" s="1044"/>
      <c r="F3" s="1044"/>
      <c r="G3" s="1044"/>
      <c r="H3" s="1044"/>
      <c r="I3" s="1045"/>
      <c r="J3" s="135"/>
    </row>
    <row r="4" spans="1:10" ht="28.5" x14ac:dyDescent="0.2">
      <c r="A4" s="670"/>
      <c r="B4" s="671"/>
      <c r="C4" s="672" t="str">
        <f>"Tank emissions
EPN: "&amp;Tanks!B6</f>
        <v xml:space="preserve">Tank emissions
EPN: </v>
      </c>
      <c r="D4" s="671"/>
      <c r="E4" s="671"/>
      <c r="F4" s="671"/>
      <c r="G4" s="672" t="str">
        <f>"Engine exhaust
EPN: "&amp;'ENGINE Summary'!B6</f>
        <v xml:space="preserve">Engine exhaust
EPN: </v>
      </c>
      <c r="H4" s="671"/>
      <c r="I4" s="673"/>
      <c r="J4" s="136"/>
    </row>
    <row r="5" spans="1:10" ht="33" customHeight="1" x14ac:dyDescent="0.2">
      <c r="A5" s="670"/>
      <c r="B5" s="671"/>
      <c r="C5" s="674" t="s">
        <v>207</v>
      </c>
      <c r="D5" s="671"/>
      <c r="E5" s="671"/>
      <c r="F5" s="671"/>
      <c r="G5" s="674" t="s">
        <v>207</v>
      </c>
      <c r="H5" s="671"/>
      <c r="I5" s="673"/>
      <c r="J5" s="136"/>
    </row>
    <row r="6" spans="1:10" ht="33" customHeight="1" x14ac:dyDescent="0.2">
      <c r="A6" s="675" t="s">
        <v>208</v>
      </c>
      <c r="B6" s="674" t="s">
        <v>209</v>
      </c>
      <c r="C6" s="676" t="s">
        <v>210</v>
      </c>
      <c r="D6" s="674" t="s">
        <v>209</v>
      </c>
      <c r="E6" s="677" t="s">
        <v>211</v>
      </c>
      <c r="F6" s="674" t="s">
        <v>209</v>
      </c>
      <c r="G6" s="676" t="s">
        <v>212</v>
      </c>
      <c r="H6" s="674" t="s">
        <v>209</v>
      </c>
      <c r="I6" s="673" t="s">
        <v>213</v>
      </c>
      <c r="J6" s="136"/>
    </row>
    <row r="7" spans="1:10" ht="15.75" thickBot="1" x14ac:dyDescent="0.3">
      <c r="A7" s="1046"/>
      <c r="B7" s="1047"/>
      <c r="C7" s="1047"/>
      <c r="D7" s="1047"/>
      <c r="E7" s="1047"/>
      <c r="F7" s="1047"/>
      <c r="G7" s="1047"/>
      <c r="H7" s="1047"/>
      <c r="I7" s="1048"/>
      <c r="J7" s="137"/>
    </row>
    <row r="8" spans="1:10" ht="8.4499999999999993" customHeight="1" x14ac:dyDescent="0.2">
      <c r="A8" s="1039" t="s">
        <v>4</v>
      </c>
      <c r="B8" s="1040"/>
      <c r="C8" s="1040"/>
      <c r="D8" s="1040"/>
      <c r="E8" s="1040"/>
      <c r="F8" s="1040"/>
      <c r="G8" s="1040"/>
      <c r="H8" s="1040"/>
      <c r="I8" s="1040"/>
      <c r="J8" s="1040"/>
    </row>
    <row r="9" spans="1:10" ht="14.25" customHeight="1" x14ac:dyDescent="0.2">
      <c r="A9" s="1041" t="str">
        <f t="shared" ref="A9" si="0">HYPERLINK("#Sheet_Eng1","End of sheet. Click here to move to the next sheet.")</f>
        <v>End of sheet. Click here to move to the next sheet.</v>
      </c>
      <c r="B9" s="1041"/>
      <c r="C9" s="1041"/>
      <c r="D9" s="1041"/>
      <c r="E9" s="1041"/>
      <c r="F9" s="1041"/>
      <c r="G9" s="1041"/>
      <c r="H9" s="1041"/>
      <c r="I9" s="1041"/>
      <c r="J9" s="1041"/>
    </row>
    <row r="10" spans="1:10" ht="8.4499999999999993" customHeight="1" x14ac:dyDescent="0.2">
      <c r="A10" s="1042"/>
      <c r="B10" s="1042"/>
      <c r="C10" s="1042"/>
      <c r="D10" s="1042"/>
      <c r="E10" s="1042"/>
      <c r="F10" s="1042"/>
      <c r="G10" s="1042"/>
      <c r="H10" s="1042"/>
      <c r="I10" s="1042"/>
      <c r="J10" s="1042"/>
    </row>
  </sheetData>
  <sheetProtection algorithmName="SHA-512" hashValue="qpIPR1YKTIcDgNl0jTsRfMxnVDeq9sjYp4a411SJ30SSe1TIX7JezbhcVHDPAEy0SpZSVhwS1r8Skzp50U4EwQ==" saltValue="3w2uSJ/dBMTfBWeVvK+UUQ==" spinCount="100000" sheet="1" objects="1" scenarios="1" formatColumns="0" formatRows="0" autoFilter="0"/>
  <mergeCells count="7">
    <mergeCell ref="A8:J8"/>
    <mergeCell ref="A9:J9"/>
    <mergeCell ref="A10:J10"/>
    <mergeCell ref="A2:I2"/>
    <mergeCell ref="A1:I1"/>
    <mergeCell ref="A3:I3"/>
    <mergeCell ref="A7:I7"/>
  </mergeCells>
  <dataValidations count="2">
    <dataValidation allowBlank="1" showErrorMessage="1" prompt="This cell intentionally left blank for internal comments. All internal comments must be submitted prior to application submittal." sqref="J3:J7" xr:uid="{51826A54-C9CA-4532-8E9C-385D62D57CB4}"/>
    <dataValidation allowBlank="1" showErrorMessage="1" promptTitle="Process Flow Description" prompt="An accessible alternative to a visual flow diagram is to include a detailed written description of the entire process.  Text in the current cells is an example. " sqref="A3:I3" xr:uid="{6A33A1F4-CDD0-4B1D-A537-B0BFE2721566}"/>
  </dataValidations>
  <printOptions horizontalCentered="1"/>
  <pageMargins left="0.25" right="0.25" top="0.57395833333333302" bottom="0.61354166666666698" header="0.3" footer="0.3"/>
  <pageSetup scale="73" orientation="landscape" r:id="rId1"/>
  <headerFooter>
    <oddHeader>&amp;C&amp;"Arial,Regular"Engine Power Generation RAP Application</oddHeader>
    <oddFooter>&amp;L&amp;"Arial,Regular"Version: 1.0&amp;C&amp;"Arial,Regular"Sheet: &amp;A&amp;R&amp;"Arial,Regular"Page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D863C-EBF9-490E-A4DE-2959278B837C}">
  <sheetPr codeName="Sheet36">
    <tabColor theme="1"/>
    <pageSetUpPr fitToPage="1"/>
  </sheetPr>
  <dimension ref="A1:Q21"/>
  <sheetViews>
    <sheetView zoomScaleNormal="100" workbookViewId="0">
      <selection sqref="A1:K1"/>
    </sheetView>
  </sheetViews>
  <sheetFormatPr defaultColWidth="9" defaultRowHeight="14.25" x14ac:dyDescent="0.2"/>
  <cols>
    <col min="1" max="1" width="10.625" customWidth="1"/>
    <col min="2" max="2" width="18.375" customWidth="1"/>
    <col min="3" max="11" width="10.125" customWidth="1"/>
    <col min="12" max="12" width="40.625" customWidth="1"/>
    <col min="13" max="13" width="2.625" style="477" customWidth="1"/>
    <col min="14" max="16" width="10.125" style="477" customWidth="1"/>
    <col min="17" max="17" width="40.625" style="477" customWidth="1"/>
    <col min="18" max="30" width="9" customWidth="1"/>
  </cols>
  <sheetData>
    <row r="1" spans="1:17" ht="18.75" customHeight="1" thickBot="1" x14ac:dyDescent="0.25">
      <c r="A1" s="1049" t="s">
        <v>1072</v>
      </c>
      <c r="B1" s="1050"/>
      <c r="C1" s="1050"/>
      <c r="D1" s="1050"/>
      <c r="E1" s="1050"/>
      <c r="F1" s="1050"/>
      <c r="G1" s="1050"/>
      <c r="H1" s="1050"/>
      <c r="I1" s="1050"/>
      <c r="J1" s="1050"/>
      <c r="K1" s="1051"/>
      <c r="L1" s="133" t="s">
        <v>60</v>
      </c>
      <c r="M1"/>
      <c r="N1"/>
      <c r="O1"/>
      <c r="P1"/>
      <c r="Q1"/>
    </row>
    <row r="2" spans="1:17" ht="89.25" customHeight="1" thickBot="1" x14ac:dyDescent="0.25">
      <c r="A2" s="762" t="s">
        <v>689</v>
      </c>
      <c r="B2" s="853"/>
      <c r="C2" s="853"/>
      <c r="D2" s="853"/>
      <c r="E2" s="853"/>
      <c r="F2" s="853"/>
      <c r="G2" s="853"/>
      <c r="H2" s="853"/>
      <c r="I2" s="853"/>
      <c r="J2" s="853"/>
      <c r="K2" s="857"/>
      <c r="L2" s="64" t="s">
        <v>63</v>
      </c>
      <c r="M2"/>
      <c r="N2"/>
      <c r="O2"/>
      <c r="P2"/>
      <c r="Q2"/>
    </row>
    <row r="3" spans="1:17" ht="15" thickBot="1" x14ac:dyDescent="0.25">
      <c r="A3" s="467"/>
      <c r="B3" s="468"/>
      <c r="C3" s="468"/>
      <c r="D3" s="468"/>
      <c r="E3" s="468"/>
      <c r="F3" s="468"/>
      <c r="G3" s="468"/>
      <c r="H3" s="468"/>
      <c r="I3" s="468"/>
      <c r="J3" s="468"/>
      <c r="K3" s="468"/>
      <c r="L3" s="468"/>
      <c r="M3"/>
      <c r="N3"/>
      <c r="O3"/>
      <c r="P3"/>
      <c r="Q3"/>
    </row>
    <row r="4" spans="1:17" ht="46.5" x14ac:dyDescent="0.2">
      <c r="A4" s="244" t="s">
        <v>690</v>
      </c>
      <c r="B4" s="63" t="s">
        <v>217</v>
      </c>
      <c r="C4" s="63" t="s">
        <v>691</v>
      </c>
      <c r="D4" s="63" t="s">
        <v>692</v>
      </c>
      <c r="E4" s="63" t="s">
        <v>693</v>
      </c>
      <c r="F4" s="63" t="s">
        <v>694</v>
      </c>
      <c r="G4" s="63" t="s">
        <v>695</v>
      </c>
      <c r="H4" s="63" t="s">
        <v>696</v>
      </c>
      <c r="I4" s="63" t="s">
        <v>697</v>
      </c>
      <c r="J4" s="63" t="s">
        <v>698</v>
      </c>
      <c r="K4" s="63" t="s">
        <v>699</v>
      </c>
      <c r="L4" s="652" t="s">
        <v>60</v>
      </c>
      <c r="M4"/>
      <c r="N4"/>
      <c r="O4"/>
      <c r="P4"/>
      <c r="Q4"/>
    </row>
    <row r="5" spans="1:17" ht="30" customHeight="1" x14ac:dyDescent="0.2">
      <c r="A5" s="244" t="str">
        <f>Reference!F15</f>
        <v/>
      </c>
      <c r="B5" s="288" t="str">
        <f>Reference!G15</f>
        <v/>
      </c>
      <c r="C5" s="287"/>
      <c r="D5" s="287"/>
      <c r="E5" s="287"/>
      <c r="F5" s="287"/>
      <c r="G5" s="287"/>
      <c r="H5" s="287"/>
      <c r="I5" s="287"/>
      <c r="J5" s="287"/>
      <c r="K5" s="287"/>
      <c r="L5" s="651"/>
      <c r="M5"/>
      <c r="N5"/>
      <c r="O5"/>
      <c r="P5"/>
      <c r="Q5"/>
    </row>
    <row r="6" spans="1:17" ht="30" customHeight="1" x14ac:dyDescent="0.2">
      <c r="A6" s="244" t="str">
        <f>Reference!F16</f>
        <v/>
      </c>
      <c r="B6" s="288" t="str">
        <f>Reference!G16</f>
        <v/>
      </c>
      <c r="C6" s="287"/>
      <c r="D6" s="287"/>
      <c r="E6" s="287"/>
      <c r="F6" s="287"/>
      <c r="G6" s="287"/>
      <c r="H6" s="287"/>
      <c r="I6" s="287"/>
      <c r="J6" s="287"/>
      <c r="K6" s="287"/>
      <c r="L6" s="651"/>
    </row>
    <row r="7" spans="1:17" ht="30" customHeight="1" x14ac:dyDescent="0.2">
      <c r="A7" s="244" t="str">
        <f>Reference!F17</f>
        <v/>
      </c>
      <c r="B7" s="288" t="str">
        <f>Reference!G17</f>
        <v/>
      </c>
      <c r="C7" s="287"/>
      <c r="D7" s="287"/>
      <c r="E7" s="287"/>
      <c r="F7" s="287"/>
      <c r="G7" s="287"/>
      <c r="H7" s="287"/>
      <c r="I7" s="287"/>
      <c r="J7" s="287"/>
      <c r="K7" s="287"/>
      <c r="L7" s="651"/>
    </row>
    <row r="8" spans="1:17" ht="30" customHeight="1" x14ac:dyDescent="0.2">
      <c r="A8" s="244" t="str">
        <f>Reference!F18</f>
        <v/>
      </c>
      <c r="B8" s="288" t="str">
        <f>Reference!G18</f>
        <v/>
      </c>
      <c r="C8" s="287"/>
      <c r="D8" s="287"/>
      <c r="E8" s="287"/>
      <c r="F8" s="287"/>
      <c r="G8" s="287"/>
      <c r="H8" s="287"/>
      <c r="I8" s="287"/>
      <c r="J8" s="287"/>
      <c r="K8" s="287"/>
      <c r="L8" s="651"/>
    </row>
    <row r="9" spans="1:17" ht="30" customHeight="1" x14ac:dyDescent="0.2">
      <c r="A9" s="244" t="str">
        <f>Reference!F19</f>
        <v/>
      </c>
      <c r="B9" s="288" t="str">
        <f>Reference!G19</f>
        <v/>
      </c>
      <c r="C9" s="287"/>
      <c r="D9" s="287"/>
      <c r="E9" s="287"/>
      <c r="F9" s="287"/>
      <c r="G9" s="287"/>
      <c r="H9" s="287"/>
      <c r="I9" s="287"/>
      <c r="J9" s="287"/>
      <c r="K9" s="287"/>
      <c r="L9" s="651"/>
    </row>
    <row r="10" spans="1:17" ht="30" customHeight="1" x14ac:dyDescent="0.2">
      <c r="A10" s="244" t="str">
        <f>Reference!F20</f>
        <v/>
      </c>
      <c r="B10" s="288" t="str">
        <f>Reference!G20</f>
        <v/>
      </c>
      <c r="C10" s="287"/>
      <c r="D10" s="287"/>
      <c r="E10" s="287"/>
      <c r="F10" s="287"/>
      <c r="G10" s="287"/>
      <c r="H10" s="287"/>
      <c r="I10" s="287"/>
      <c r="J10" s="287"/>
      <c r="K10" s="287"/>
      <c r="L10" s="651"/>
    </row>
    <row r="11" spans="1:17" ht="30" customHeight="1" x14ac:dyDescent="0.2">
      <c r="A11" s="244" t="str">
        <f>Reference!F21</f>
        <v/>
      </c>
      <c r="B11" s="288" t="str">
        <f>Reference!G21</f>
        <v/>
      </c>
      <c r="C11" s="287"/>
      <c r="D11" s="287"/>
      <c r="E11" s="287"/>
      <c r="F11" s="287"/>
      <c r="G11" s="287"/>
      <c r="H11" s="287"/>
      <c r="I11" s="287"/>
      <c r="J11" s="287"/>
      <c r="K11" s="287"/>
      <c r="L11" s="651"/>
    </row>
    <row r="12" spans="1:17" ht="30" customHeight="1" x14ac:dyDescent="0.2">
      <c r="A12" s="244" t="str">
        <f>Reference!F22</f>
        <v/>
      </c>
      <c r="B12" s="288" t="str">
        <f>Reference!G22</f>
        <v/>
      </c>
      <c r="C12" s="287"/>
      <c r="D12" s="287"/>
      <c r="E12" s="287"/>
      <c r="F12" s="287"/>
      <c r="G12" s="287"/>
      <c r="H12" s="287"/>
      <c r="I12" s="287"/>
      <c r="J12" s="287"/>
      <c r="K12" s="287"/>
      <c r="L12" s="651"/>
    </row>
    <row r="13" spans="1:17" ht="30" customHeight="1" x14ac:dyDescent="0.2">
      <c r="A13" s="244" t="str">
        <f>Reference!F23</f>
        <v/>
      </c>
      <c r="B13" s="288" t="str">
        <f>Reference!G23</f>
        <v/>
      </c>
      <c r="C13" s="287"/>
      <c r="D13" s="287"/>
      <c r="E13" s="287"/>
      <c r="F13" s="287"/>
      <c r="G13" s="287"/>
      <c r="H13" s="287"/>
      <c r="I13" s="287"/>
      <c r="J13" s="287"/>
      <c r="K13" s="287"/>
      <c r="L13" s="653"/>
    </row>
    <row r="14" spans="1:17" ht="30" customHeight="1" x14ac:dyDescent="0.2">
      <c r="A14" s="244" t="str">
        <f>Reference!F24</f>
        <v/>
      </c>
      <c r="B14" s="288" t="str">
        <f>Reference!G24</f>
        <v/>
      </c>
      <c r="C14" s="287"/>
      <c r="D14" s="287"/>
      <c r="E14" s="287"/>
      <c r="F14" s="287"/>
      <c r="G14" s="287"/>
      <c r="H14" s="287"/>
      <c r="I14" s="287"/>
      <c r="J14" s="287"/>
      <c r="K14" s="287"/>
      <c r="L14" s="653"/>
    </row>
    <row r="15" spans="1:17" ht="30" customHeight="1" x14ac:dyDescent="0.2">
      <c r="A15" s="245">
        <f>'ENGINE Summary'!B6</f>
        <v>0</v>
      </c>
      <c r="B15" s="99" t="str">
        <f>Reference!G14</f>
        <v>All engines at the site authorized by a RAP</v>
      </c>
      <c r="C15" s="679">
        <f>SUM(C5:C14)</f>
        <v>0</v>
      </c>
      <c r="D15" s="679">
        <f t="shared" ref="D15:K15" si="0">SUM(D5:D14)</f>
        <v>0</v>
      </c>
      <c r="E15" s="679">
        <f t="shared" si="0"/>
        <v>0</v>
      </c>
      <c r="F15" s="679">
        <f t="shared" si="0"/>
        <v>0</v>
      </c>
      <c r="G15" s="679">
        <f t="shared" si="0"/>
        <v>0</v>
      </c>
      <c r="H15" s="679">
        <f t="shared" si="0"/>
        <v>0</v>
      </c>
      <c r="I15" s="679">
        <f t="shared" si="0"/>
        <v>0</v>
      </c>
      <c r="J15" s="679">
        <f t="shared" si="0"/>
        <v>0</v>
      </c>
      <c r="K15" s="679">
        <f t="shared" si="0"/>
        <v>0</v>
      </c>
      <c r="L15" s="651"/>
    </row>
    <row r="16" spans="1:17" ht="30" customHeight="1" x14ac:dyDescent="0.2">
      <c r="A16" s="245" t="str">
        <f>IF('PI-1-PowerEngine'!B79&gt;0,Tanks!B6,"")</f>
        <v/>
      </c>
      <c r="B16" s="99" t="str">
        <f>IF(A16="","","All tanks at the site authorized by a RAP")</f>
        <v/>
      </c>
      <c r="C16" s="279" t="str">
        <f>IF($B$16="","",0)</f>
        <v/>
      </c>
      <c r="D16" s="279" t="str">
        <f>IF($B$16="","",0)</f>
        <v/>
      </c>
      <c r="E16" s="279" t="str">
        <f>IF($B$16="","",0)</f>
        <v/>
      </c>
      <c r="F16" s="279" t="str">
        <f>IF($B$16="","",0)</f>
        <v/>
      </c>
      <c r="G16" s="279" t="str">
        <f>IF($B$16="","",0)</f>
        <v/>
      </c>
      <c r="H16" s="280"/>
      <c r="I16" s="279" t="str">
        <f>IF($B$16="","",0)</f>
        <v/>
      </c>
      <c r="J16" s="279" t="str">
        <f>IF($B$16="","",0)</f>
        <v/>
      </c>
      <c r="K16" s="279" t="str">
        <f>IF($B$16="","",0)</f>
        <v/>
      </c>
      <c r="L16" s="651"/>
    </row>
    <row r="17" spans="1:17" ht="15.75" thickBot="1" x14ac:dyDescent="0.25">
      <c r="A17" s="246" t="s">
        <v>700</v>
      </c>
      <c r="B17" s="247" t="s">
        <v>701</v>
      </c>
      <c r="C17" s="281">
        <f>SUM(C15:C16)</f>
        <v>0</v>
      </c>
      <c r="D17" s="281">
        <f t="shared" ref="D17:J17" si="1">SUM(D15:D16)</f>
        <v>0</v>
      </c>
      <c r="E17" s="281">
        <f t="shared" si="1"/>
        <v>0</v>
      </c>
      <c r="F17" s="281">
        <f t="shared" si="1"/>
        <v>0</v>
      </c>
      <c r="G17" s="281">
        <f t="shared" si="1"/>
        <v>0</v>
      </c>
      <c r="H17" s="281">
        <f t="shared" si="1"/>
        <v>0</v>
      </c>
      <c r="I17" s="281">
        <f t="shared" si="1"/>
        <v>0</v>
      </c>
      <c r="J17" s="281">
        <f t="shared" si="1"/>
        <v>0</v>
      </c>
      <c r="K17" s="281">
        <f t="shared" ref="K17" si="2">SUM(K15:K16)</f>
        <v>0</v>
      </c>
      <c r="L17" s="651"/>
    </row>
    <row r="18" spans="1:17" ht="8.25" customHeight="1" x14ac:dyDescent="0.2">
      <c r="A18" s="464"/>
      <c r="B18" s="465"/>
      <c r="C18" s="465"/>
      <c r="D18" s="465"/>
      <c r="E18" s="465"/>
      <c r="F18" s="465"/>
      <c r="G18" s="465"/>
      <c r="H18" s="465"/>
      <c r="I18" s="465"/>
      <c r="J18" s="465"/>
      <c r="K18" s="465"/>
      <c r="L18" s="465"/>
      <c r="M18" s="164"/>
      <c r="N18" s="164"/>
      <c r="O18" s="164"/>
      <c r="P18" s="164"/>
      <c r="Q18" s="164"/>
    </row>
    <row r="19" spans="1:17" x14ac:dyDescent="0.2">
      <c r="A19" s="165" t="str">
        <f>HYPERLINK("#Sheet_PN","End of sheet. Click here to move to the next sheet.")</f>
        <v>End of sheet. Click here to move to the next sheet.</v>
      </c>
      <c r="B19" s="165"/>
      <c r="C19" s="165"/>
      <c r="D19" s="165"/>
      <c r="E19" s="165"/>
      <c r="F19" s="165"/>
      <c r="G19" s="165"/>
      <c r="H19" s="165"/>
      <c r="I19" s="165"/>
      <c r="J19" s="165"/>
      <c r="K19" s="165"/>
      <c r="L19" s="165"/>
      <c r="M19" s="165"/>
      <c r="N19" s="165"/>
      <c r="O19" s="165"/>
      <c r="P19" s="165"/>
      <c r="Q19" s="165"/>
    </row>
    <row r="20" spans="1:17" ht="8.25" customHeight="1" x14ac:dyDescent="0.2">
      <c r="A20" s="466"/>
      <c r="B20" s="466"/>
      <c r="C20" s="466"/>
      <c r="D20" s="466"/>
      <c r="E20" s="466"/>
      <c r="F20" s="466"/>
      <c r="G20" s="466"/>
      <c r="H20" s="466"/>
      <c r="I20" s="466"/>
      <c r="J20" s="466"/>
      <c r="K20" s="466"/>
      <c r="L20" s="466"/>
      <c r="M20" s="85"/>
      <c r="N20" s="85"/>
      <c r="O20" s="85"/>
      <c r="P20" s="85"/>
      <c r="Q20" s="85"/>
    </row>
    <row r="21" spans="1:17" x14ac:dyDescent="0.2">
      <c r="E21" t="s">
        <v>702</v>
      </c>
    </row>
  </sheetData>
  <sheetProtection algorithmName="SHA-512" hashValue="Qg8R/pA/d1ZuMx+eIztxycHEKB9neJkH/tnnpmK96BcGuO0Lh+tCp/3GyS+Ccc+GbndfnyhDuFDdqLemjGPcEA==" saltValue="i2y/K23TCZIxTehdtTYvag==" spinCount="100000" sheet="1" objects="1" scenarios="1" formatColumns="0" formatRows="0" autoFilter="0"/>
  <mergeCells count="2">
    <mergeCell ref="A1:K1"/>
    <mergeCell ref="A2:K2"/>
  </mergeCells>
  <conditionalFormatting sqref="A5:K15">
    <cfRule type="expression" dxfId="2" priority="8">
      <formula>AND($A5="",SUM($C5:$K5)=0)</formula>
    </cfRule>
  </conditionalFormatting>
  <conditionalFormatting sqref="L1:L2">
    <cfRule type="expression" dxfId="0" priority="1">
      <formula>$F$1</formula>
    </cfRule>
  </conditionalFormatting>
  <dataValidations count="2">
    <dataValidation allowBlank="1" showErrorMessage="1" prompt="This cell intentionally left blank for internal comments. All internal comments must be submitted prior to application submittal." sqref="L4:L17" xr:uid="{A4D17382-B007-46DE-9B39-D741C9B2C1E8}"/>
    <dataValidation type="decimal" operator="greaterThanOrEqual" allowBlank="1" showInputMessage="1" showErrorMessage="1" sqref="C5:G15 I5:K15 H5:H16" xr:uid="{DB0F6238-D048-4B06-BDAB-94049E7CD42A}">
      <formula1>0</formula1>
    </dataValidation>
  </dataValidations>
  <printOptions horizontalCentered="1"/>
  <pageMargins left="0.25" right="0.25" top="0.57395833333333302" bottom="0.61354166666666698" header="0.3" footer="0.3"/>
  <pageSetup scale="27" fitToHeight="0" orientation="landscape" r:id="rId1"/>
  <headerFooter>
    <oddHeader>&amp;C&amp;"Arial,Regular"Engine Power Generation RAP Application</oddHeader>
    <oddFooter>&amp;L&amp;"Arial,Regular"Version: 1.0&amp;C&amp;"Arial,Regular"Sheet: &amp;A&amp;R&amp;"Arial,Regular"Page &amp;P</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1" id="{555F63A1-F106-4BC6-A74B-C03567CB2DC6}">
            <xm:f>AND('PI-1-PowerEngine'!$B$79=0,'PI-1-PowerEngine'!$B$79&lt;&gt;"")</xm:f>
            <x14:dxf>
              <numFmt numFmtId="174" formatCode=";;;"/>
              <fill>
                <patternFill>
                  <bgColor theme="0" tint="-0.499984740745262"/>
                </patternFill>
              </fill>
            </x14:dxf>
          </x14:cfRule>
          <xm:sqref>A16:K16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133BA-C8F1-4AE1-9E53-170EE59FE71A}">
  <sheetPr codeName="Sheet2">
    <tabColor rgb="FFFFDCDC"/>
  </sheetPr>
  <dimension ref="A1:D76"/>
  <sheetViews>
    <sheetView showGridLines="0" zoomScaleNormal="100" workbookViewId="0">
      <selection sqref="A1:B1"/>
    </sheetView>
  </sheetViews>
  <sheetFormatPr defaultColWidth="0" defaultRowHeight="14.25" zeroHeight="1" x14ac:dyDescent="0.2"/>
  <cols>
    <col min="1" max="1" width="85.625" customWidth="1"/>
    <col min="2" max="2" width="25.125" customWidth="1"/>
    <col min="3" max="3" width="40.625" customWidth="1"/>
    <col min="4" max="4" width="2.625" customWidth="1"/>
    <col min="5" max="16384" width="9" hidden="1"/>
  </cols>
  <sheetData>
    <row r="1" spans="1:3" s="4" customFormat="1" ht="30" customHeight="1" thickBot="1" x14ac:dyDescent="0.25">
      <c r="A1" s="839" t="s">
        <v>163</v>
      </c>
      <c r="B1" s="840"/>
      <c r="C1" s="125" t="s">
        <v>60</v>
      </c>
    </row>
    <row r="2" spans="1:3" s="4" customFormat="1" ht="147" customHeight="1" x14ac:dyDescent="0.2">
      <c r="A2" s="841" t="s">
        <v>164</v>
      </c>
      <c r="B2" s="842"/>
      <c r="C2" s="132" t="s">
        <v>63</v>
      </c>
    </row>
    <row r="3" spans="1:3" s="4" customFormat="1" ht="17.100000000000001" customHeight="1" x14ac:dyDescent="0.2">
      <c r="A3" s="148" t="s">
        <v>165</v>
      </c>
      <c r="B3" s="149"/>
      <c r="C3" s="126"/>
    </row>
    <row r="4" spans="1:3" s="4" customFormat="1" ht="90.75" customHeight="1" thickBot="1" x14ac:dyDescent="0.25">
      <c r="A4" s="843" t="s">
        <v>166</v>
      </c>
      <c r="B4" s="844"/>
      <c r="C4" s="127"/>
    </row>
    <row r="5" spans="1:3" s="12" customFormat="1" ht="15" thickBot="1" x14ac:dyDescent="0.25">
      <c r="A5" s="742"/>
      <c r="B5" s="742"/>
      <c r="C5" s="321"/>
    </row>
    <row r="6" spans="1:3" s="4" customFormat="1" ht="17.100000000000001" customHeight="1" thickBot="1" x14ac:dyDescent="0.25">
      <c r="A6" s="847" t="s">
        <v>167</v>
      </c>
      <c r="B6" s="848"/>
      <c r="C6" s="121"/>
    </row>
    <row r="7" spans="1:3" s="4" customFormat="1" ht="17.100000000000001" customHeight="1" x14ac:dyDescent="0.2">
      <c r="A7" s="627" t="s">
        <v>72</v>
      </c>
      <c r="B7" s="628" t="s">
        <v>73</v>
      </c>
      <c r="C7" s="121"/>
    </row>
    <row r="8" spans="1:3" s="4" customFormat="1" ht="30" customHeight="1" x14ac:dyDescent="0.2">
      <c r="A8" s="189" t="s">
        <v>168</v>
      </c>
      <c r="B8" s="190"/>
      <c r="C8" s="121"/>
    </row>
    <row r="9" spans="1:3" s="4" customFormat="1" ht="15" customHeight="1" x14ac:dyDescent="0.2">
      <c r="A9" s="182" t="s">
        <v>169</v>
      </c>
      <c r="B9" s="183"/>
      <c r="C9" s="121"/>
    </row>
    <row r="10" spans="1:3" s="4" customFormat="1" ht="13.5" thickBot="1" x14ac:dyDescent="0.25">
      <c r="A10" s="845"/>
      <c r="B10" s="846"/>
      <c r="C10" s="320"/>
    </row>
    <row r="11" spans="1:3" s="4" customFormat="1" ht="17.100000000000001" customHeight="1" x14ac:dyDescent="0.2">
      <c r="A11" s="144" t="s">
        <v>170</v>
      </c>
      <c r="B11" s="145"/>
      <c r="C11" s="121"/>
    </row>
    <row r="12" spans="1:3" s="4" customFormat="1" ht="15" customHeight="1" x14ac:dyDescent="0.2">
      <c r="A12" s="178" t="s">
        <v>171</v>
      </c>
      <c r="B12" s="179" t="s">
        <v>172</v>
      </c>
      <c r="C12" s="121"/>
    </row>
    <row r="13" spans="1:3" s="4" customFormat="1" ht="30" customHeight="1" x14ac:dyDescent="0.2">
      <c r="A13" s="151" t="s">
        <v>173</v>
      </c>
      <c r="B13" s="129"/>
      <c r="C13" s="121"/>
    </row>
    <row r="14" spans="1:3" s="4" customFormat="1" ht="45" customHeight="1" x14ac:dyDescent="0.2">
      <c r="A14" s="151" t="s">
        <v>174</v>
      </c>
      <c r="B14" s="129"/>
      <c r="C14" s="121"/>
    </row>
    <row r="15" spans="1:3" s="4" customFormat="1" ht="15" customHeight="1" x14ac:dyDescent="0.2">
      <c r="A15" s="151" t="s">
        <v>175</v>
      </c>
      <c r="B15" s="129"/>
      <c r="C15" s="121"/>
    </row>
    <row r="16" spans="1:3" s="4" customFormat="1" x14ac:dyDescent="0.2">
      <c r="A16" s="151" t="s">
        <v>176</v>
      </c>
      <c r="B16" s="129"/>
      <c r="C16" s="121"/>
    </row>
    <row r="17" spans="1:3" s="4" customFormat="1" ht="28.5" x14ac:dyDescent="0.2">
      <c r="A17" s="151" t="s">
        <v>177</v>
      </c>
      <c r="B17" s="129"/>
      <c r="C17" s="121"/>
    </row>
    <row r="18" spans="1:3" s="4" customFormat="1" x14ac:dyDescent="0.2">
      <c r="A18" s="151" t="s">
        <v>178</v>
      </c>
      <c r="B18" s="129"/>
      <c r="C18" s="121"/>
    </row>
    <row r="19" spans="1:3" s="4" customFormat="1" ht="15" customHeight="1" x14ac:dyDescent="0.2">
      <c r="A19" s="151" t="s">
        <v>179</v>
      </c>
      <c r="B19" s="129"/>
      <c r="C19" s="121"/>
    </row>
    <row r="20" spans="1:3" s="4" customFormat="1" ht="15" customHeight="1" x14ac:dyDescent="0.2">
      <c r="A20" s="180" t="s">
        <v>180</v>
      </c>
      <c r="B20" s="181">
        <f>SUM(B13:B19)</f>
        <v>0</v>
      </c>
      <c r="C20" s="121"/>
    </row>
    <row r="21" spans="1:3" s="4" customFormat="1" ht="15" customHeight="1" thickBot="1" x14ac:dyDescent="0.25">
      <c r="A21" s="846"/>
      <c r="B21" s="846"/>
      <c r="C21" s="320"/>
    </row>
    <row r="22" spans="1:3" s="4" customFormat="1" ht="17.100000000000001" customHeight="1" x14ac:dyDescent="0.2">
      <c r="A22" s="796" t="s">
        <v>181</v>
      </c>
      <c r="B22" s="797"/>
      <c r="C22" s="121"/>
    </row>
    <row r="23" spans="1:3" s="4" customFormat="1" ht="15" customHeight="1" x14ac:dyDescent="0.2">
      <c r="A23" s="178" t="s">
        <v>171</v>
      </c>
      <c r="B23" s="179" t="s">
        <v>172</v>
      </c>
      <c r="C23" s="121"/>
    </row>
    <row r="24" spans="1:3" s="4" customFormat="1" ht="15" customHeight="1" x14ac:dyDescent="0.2">
      <c r="A24" s="151" t="s">
        <v>182</v>
      </c>
      <c r="B24" s="129"/>
      <c r="C24" s="121"/>
    </row>
    <row r="25" spans="1:3" s="4" customFormat="1" ht="32.1" customHeight="1" x14ac:dyDescent="0.2">
      <c r="A25" s="151" t="s">
        <v>183</v>
      </c>
      <c r="B25" s="129"/>
      <c r="C25" s="121"/>
    </row>
    <row r="26" spans="1:3" s="4" customFormat="1" ht="15" customHeight="1" x14ac:dyDescent="0.2">
      <c r="A26" s="150" t="s">
        <v>184</v>
      </c>
      <c r="B26" s="129"/>
      <c r="C26" s="121"/>
    </row>
    <row r="27" spans="1:3" s="4" customFormat="1" ht="15" customHeight="1" x14ac:dyDescent="0.2">
      <c r="A27" s="180" t="s">
        <v>180</v>
      </c>
      <c r="B27" s="181">
        <f>SUM(B24:B26)</f>
        <v>0</v>
      </c>
      <c r="C27" s="121"/>
    </row>
    <row r="28" spans="1:3" s="4" customFormat="1" ht="15" customHeight="1" thickBot="1" x14ac:dyDescent="0.25">
      <c r="A28" s="846"/>
      <c r="B28" s="846"/>
      <c r="C28" s="320"/>
    </row>
    <row r="29" spans="1:3" s="4" customFormat="1" ht="17.100000000000001" customHeight="1" thickBot="1" x14ac:dyDescent="0.25">
      <c r="A29" s="800" t="s">
        <v>185</v>
      </c>
      <c r="B29" s="801"/>
      <c r="C29" s="121"/>
    </row>
    <row r="30" spans="1:3" s="4" customFormat="1" ht="69.95" customHeight="1" thickBot="1" x14ac:dyDescent="0.25">
      <c r="A30" s="852" t="s">
        <v>186</v>
      </c>
      <c r="B30" s="853"/>
      <c r="C30" s="121"/>
    </row>
    <row r="31" spans="1:3" s="4" customFormat="1" ht="15" customHeight="1" x14ac:dyDescent="0.2">
      <c r="A31" s="178" t="s">
        <v>187</v>
      </c>
      <c r="B31" s="218" t="s">
        <v>188</v>
      </c>
      <c r="C31" s="217"/>
    </row>
    <row r="32" spans="1:3" s="4" customFormat="1" ht="15" customHeight="1" x14ac:dyDescent="0.2">
      <c r="A32" s="151" t="s">
        <v>189</v>
      </c>
      <c r="B32" s="109" t="s">
        <v>190</v>
      </c>
      <c r="C32" s="217"/>
    </row>
    <row r="33" spans="1:3" s="4" customFormat="1" ht="15" customHeight="1" x14ac:dyDescent="0.2">
      <c r="A33" s="151" t="s">
        <v>191</v>
      </c>
      <c r="B33" s="109" t="s">
        <v>192</v>
      </c>
      <c r="C33" s="217"/>
    </row>
    <row r="34" spans="1:3" s="4" customFormat="1" ht="15" customHeight="1" thickBot="1" x14ac:dyDescent="0.25">
      <c r="A34" s="177" t="s">
        <v>193</v>
      </c>
      <c r="B34" s="112" t="s">
        <v>194</v>
      </c>
      <c r="C34" s="217"/>
    </row>
    <row r="35" spans="1:3" s="4" customFormat="1" ht="15" customHeight="1" x14ac:dyDescent="0.2">
      <c r="A35" s="216" t="s">
        <v>195</v>
      </c>
      <c r="B35" s="113">
        <f>IF(B8="Yes","",B20+B27)</f>
        <v>0</v>
      </c>
      <c r="C35" s="217"/>
    </row>
    <row r="36" spans="1:3" s="4" customFormat="1" ht="15" customHeight="1" x14ac:dyDescent="0.2">
      <c r="A36" s="219" t="str">
        <f>"Permit Application Fee: "&amp;IF(B8="Yes","Maximum fee applies.",IF(OR(B9="Fee Exemption/Reduction",B9=""),"",IF(B35&lt;300000,"Minimum fee applies.",IF(AND(B35&gt;=300000,B35&lt;25000000),"",IF(B35&gt;=2500000,"Maximum fee applies.")))))</f>
        <v xml:space="preserve">Permit Application Fee: </v>
      </c>
      <c r="B36" s="220">
        <f>IF(AND(B9="minor application",B35&lt;300000),900,IF(B35&gt;2500000,75000,B35*0.003))</f>
        <v>0</v>
      </c>
      <c r="C36" s="217"/>
    </row>
    <row r="37" spans="1:3" s="4" customFormat="1" ht="45" customHeight="1" thickBot="1" x14ac:dyDescent="0.25">
      <c r="A37" s="854" t="s">
        <v>196</v>
      </c>
      <c r="B37" s="855"/>
      <c r="C37" s="121"/>
    </row>
    <row r="38" spans="1:3" s="4" customFormat="1" ht="45" customHeight="1" thickBot="1" x14ac:dyDescent="0.25">
      <c r="A38" s="856"/>
      <c r="B38" s="857"/>
      <c r="C38" s="121"/>
    </row>
    <row r="39" spans="1:3" s="4" customFormat="1" ht="15" customHeight="1" thickBot="1" x14ac:dyDescent="0.25">
      <c r="A39" s="846"/>
      <c r="B39" s="846"/>
      <c r="C39" s="320"/>
    </row>
    <row r="40" spans="1:3" s="4" customFormat="1" ht="17.100000000000001" customHeight="1" x14ac:dyDescent="0.2">
      <c r="A40" s="796" t="s">
        <v>197</v>
      </c>
      <c r="B40" s="797"/>
      <c r="C40" s="121"/>
    </row>
    <row r="41" spans="1:3" s="4" customFormat="1" ht="17.100000000000001" customHeight="1" x14ac:dyDescent="0.2">
      <c r="A41" s="629" t="s">
        <v>72</v>
      </c>
      <c r="B41" s="630" t="s">
        <v>73</v>
      </c>
      <c r="C41" s="121"/>
    </row>
    <row r="42" spans="1:3" s="4" customFormat="1" ht="15" customHeight="1" x14ac:dyDescent="0.2">
      <c r="A42" s="150" t="s">
        <v>198</v>
      </c>
      <c r="B42" s="111"/>
      <c r="C42" s="121"/>
    </row>
    <row r="43" spans="1:3" s="4" customFormat="1" ht="15" customHeight="1" x14ac:dyDescent="0.2">
      <c r="A43" s="150" t="s">
        <v>199</v>
      </c>
      <c r="B43" s="129"/>
      <c r="C43" s="121"/>
    </row>
    <row r="44" spans="1:3" s="4" customFormat="1" ht="15" customHeight="1" x14ac:dyDescent="0.2">
      <c r="A44" s="151" t="s">
        <v>200</v>
      </c>
      <c r="B44" s="130"/>
      <c r="C44" s="121"/>
    </row>
    <row r="45" spans="1:3" s="4" customFormat="1" ht="15" customHeight="1" x14ac:dyDescent="0.2">
      <c r="A45" s="191" t="s">
        <v>201</v>
      </c>
      <c r="B45" s="110"/>
      <c r="C45" s="121"/>
    </row>
    <row r="46" spans="1:3" s="4" customFormat="1" ht="15" customHeight="1" thickBot="1" x14ac:dyDescent="0.25">
      <c r="A46" s="846"/>
      <c r="B46" s="846"/>
      <c r="C46" s="320"/>
    </row>
    <row r="47" spans="1:3" s="4" customFormat="1" ht="17.100000000000001" customHeight="1" thickBot="1" x14ac:dyDescent="0.25">
      <c r="A47" s="800" t="s">
        <v>202</v>
      </c>
      <c r="B47" s="801"/>
      <c r="C47" s="121"/>
    </row>
    <row r="48" spans="1:3" s="4" customFormat="1" ht="17.100000000000001" customHeight="1" x14ac:dyDescent="0.2">
      <c r="A48" s="631" t="s">
        <v>72</v>
      </c>
      <c r="B48" s="632" t="s">
        <v>73</v>
      </c>
      <c r="C48" s="121"/>
    </row>
    <row r="49" spans="1:3" s="4" customFormat="1" ht="15" customHeight="1" x14ac:dyDescent="0.2">
      <c r="A49" s="633" t="s">
        <v>203</v>
      </c>
      <c r="B49" s="634"/>
      <c r="C49" s="121"/>
    </row>
    <row r="50" spans="1:3" s="4" customFormat="1" ht="28.5" customHeight="1" x14ac:dyDescent="0.2">
      <c r="A50" s="214" t="s">
        <v>204</v>
      </c>
      <c r="B50" s="111"/>
      <c r="C50" s="121"/>
    </row>
    <row r="51" spans="1:3" s="4" customFormat="1" ht="29.25" customHeight="1" thickBot="1" x14ac:dyDescent="0.25">
      <c r="A51" s="191" t="s">
        <v>205</v>
      </c>
      <c r="B51" s="192" t="str">
        <f t="shared" ref="B51" si="0">IF(OR(B49="no",AND(B49="yes",B50="Yes")),"No",IF(AND(B49="Yes",B50="no"),"Yes",""))</f>
        <v/>
      </c>
      <c r="C51" s="131"/>
    </row>
    <row r="52" spans="1:3" s="4" customFormat="1" ht="8.25" customHeight="1" x14ac:dyDescent="0.2">
      <c r="A52" s="850" t="s">
        <v>4</v>
      </c>
      <c r="B52" s="851"/>
      <c r="C52" s="851"/>
    </row>
    <row r="53" spans="1:3" s="4" customFormat="1" x14ac:dyDescent="0.2">
      <c r="A53" s="812" t="str">
        <f>HYPERLINK("#Sheet_Eng1","End of sheet. Click here to move to the next sheet.")</f>
        <v>End of sheet. Click here to move to the next sheet.</v>
      </c>
      <c r="B53" s="812"/>
      <c r="C53" s="812"/>
    </row>
    <row r="54" spans="1:3" s="4" customFormat="1" ht="8.25" hidden="1" customHeight="1" x14ac:dyDescent="0.2">
      <c r="A54" s="849"/>
      <c r="B54" s="849"/>
      <c r="C54" s="849"/>
    </row>
    <row r="55" spans="1:3" s="4" customFormat="1" ht="12.75" hidden="1" x14ac:dyDescent="0.2"/>
    <row r="56" spans="1:3" s="4" customFormat="1" ht="12.75" hidden="1" x14ac:dyDescent="0.2"/>
    <row r="57" spans="1:3" s="4" customFormat="1" ht="12.75" hidden="1" x14ac:dyDescent="0.2"/>
    <row r="58" spans="1:3" s="4" customFormat="1" ht="12.75" hidden="1" x14ac:dyDescent="0.2"/>
    <row r="59" spans="1:3" s="4" customFormat="1" ht="12.75" hidden="1" x14ac:dyDescent="0.2"/>
    <row r="60" spans="1:3" s="4" customFormat="1" ht="12.75" hidden="1" x14ac:dyDescent="0.2"/>
    <row r="61" spans="1:3" s="4" customFormat="1" ht="12.75" hidden="1" x14ac:dyDescent="0.2"/>
    <row r="62" spans="1:3" s="4" customFormat="1" ht="12.75" hidden="1" x14ac:dyDescent="0.2"/>
    <row r="63" spans="1:3" s="4" customFormat="1" ht="12.75" hidden="1" x14ac:dyDescent="0.2"/>
    <row r="64" spans="1:3" s="4" customFormat="1" ht="12.75" hidden="1" x14ac:dyDescent="0.2"/>
    <row r="65" s="4" customFormat="1" ht="12.75" hidden="1" x14ac:dyDescent="0.2"/>
    <row r="66" s="4" customFormat="1" ht="12.75" hidden="1" x14ac:dyDescent="0.2"/>
    <row r="67" s="4" customFormat="1" ht="12.75" hidden="1" x14ac:dyDescent="0.2"/>
    <row r="68" s="4" customFormat="1" ht="12.75" hidden="1" x14ac:dyDescent="0.2"/>
    <row r="69" s="4" customFormat="1" ht="12.75" hidden="1" x14ac:dyDescent="0.2"/>
    <row r="70" s="4" customFormat="1" ht="12.75" hidden="1" x14ac:dyDescent="0.2"/>
    <row r="71" s="4" customFormat="1" ht="12.75" hidden="1" x14ac:dyDescent="0.2"/>
    <row r="72" s="4" customFormat="1" ht="12.75" hidden="1" x14ac:dyDescent="0.2"/>
    <row r="73" s="4" customFormat="1" ht="12.75" hidden="1" x14ac:dyDescent="0.2"/>
    <row r="74" s="4" customFormat="1" ht="12.75" hidden="1" x14ac:dyDescent="0.2"/>
    <row r="75" s="4" customFormat="1" ht="12.75" hidden="1" x14ac:dyDescent="0.2"/>
    <row r="76" s="4" customFormat="1" ht="12.75" hidden="1" x14ac:dyDescent="0.2"/>
  </sheetData>
  <sheetProtection algorithmName="SHA-512" hashValue="XjK0M41X21n6q79GWmcAzYC5u+FrOCUNnunsA3MSpfZFGhYbqD3C0ePIeX3MI2A8kXrSjhxtson0iioVkkAhpg==" saltValue="shzSv/gJdXJ27OPbmxO5sQ==" spinCount="100000" sheet="1" objects="1" scenarios="1" formatColumns="0" formatRows="0" autoFilter="0"/>
  <mergeCells count="20">
    <mergeCell ref="A53:C53"/>
    <mergeCell ref="A54:C54"/>
    <mergeCell ref="A21:B21"/>
    <mergeCell ref="A22:B22"/>
    <mergeCell ref="A28:B28"/>
    <mergeCell ref="A29:B29"/>
    <mergeCell ref="A52:C52"/>
    <mergeCell ref="A46:B46"/>
    <mergeCell ref="A47:B47"/>
    <mergeCell ref="A39:B39"/>
    <mergeCell ref="A40:B40"/>
    <mergeCell ref="A30:B30"/>
    <mergeCell ref="A37:B37"/>
    <mergeCell ref="A38:B38"/>
    <mergeCell ref="A1:B1"/>
    <mergeCell ref="A2:B2"/>
    <mergeCell ref="A4:B4"/>
    <mergeCell ref="A5:B5"/>
    <mergeCell ref="A10:B10"/>
    <mergeCell ref="A6:B6"/>
  </mergeCells>
  <conditionalFormatting sqref="A37:A38">
    <cfRule type="expression" dxfId="85" priority="1">
      <formula>$B$9&lt;&gt;"fee exemption/reduction for research projects by state agencies or institutions of higher education"</formula>
    </cfRule>
  </conditionalFormatting>
  <conditionalFormatting sqref="A11:B20 A22:B27 A31:B34 A37:A38">
    <cfRule type="expression" dxfId="84" priority="6">
      <formula>$B$8="YES"</formula>
    </cfRule>
  </conditionalFormatting>
  <conditionalFormatting sqref="A11:B20 A22:B27 A31:B36">
    <cfRule type="expression" dxfId="83" priority="300">
      <formula>$B$9="fee exemption/reduction for research projects by state agencies or institutions of higher education"</formula>
    </cfRule>
  </conditionalFormatting>
  <conditionalFormatting sqref="A50:B50">
    <cfRule type="expression" dxfId="82" priority="301">
      <formula>$B$49="NO"</formula>
    </cfRule>
  </conditionalFormatting>
  <conditionalFormatting sqref="B43">
    <cfRule type="expression" dxfId="81" priority="306">
      <formula>$B$36&lt;&gt;$B$43</formula>
    </cfRule>
  </conditionalFormatting>
  <conditionalFormatting sqref="B51">
    <cfRule type="expression" dxfId="80" priority="307">
      <formula>$B$51="YES"</formula>
    </cfRule>
  </conditionalFormatting>
  <dataValidations count="23">
    <dataValidation type="textLength" operator="greaterThan" allowBlank="1" showInputMessage="1" showErrorMessage="1" errorTitle="This text cannot be deleted" error="Please do not alter the text in this block of instructions. It has been left unlocked for accessibility purposes only. Altering the text in an instructions block may result in denial of the permit application." sqref="A3:A5" xr:uid="{77ABD986-13AB-4270-85E5-6D26648E65CA}">
      <formula1>1</formula1>
    </dataValidation>
    <dataValidation type="list" allowBlank="1" showErrorMessage="1" prompt="Was the fee paid online? Enter or select &quot;yes&quot; or &quot;no&quot;." sqref="B42" xr:uid="{DC8520F5-601E-454C-B717-D8C7286BE115}">
      <formula1>"Yes,No"</formula1>
    </dataValidation>
    <dataValidation allowBlank="1" showErrorMessage="1" promptTitle="Payment Information" prompt="Enter the fee amount.   Text in this cell will turn red if it does not match above &quot;Permit Application Fee: Minimum fee applies&quot;." sqref="B43" xr:uid="{3E381AAC-2D38-4B81-BB7A-F1ED2C87CDA6}"/>
    <dataValidation type="list" allowBlank="1" showErrorMessage="1" prompt="If the project is expected to apply for the maximum fee, you may opt to select &quot;Yes&quot; here and skip sections II and III (Direct Costs and Indirect Costs)." sqref="B8" xr:uid="{5642208A-C215-4E9B-9282-6F100255E980}">
      <formula1>"Yes,No"</formula1>
    </dataValidation>
    <dataValidation type="list" allowBlank="1" showErrorMessage="1" prompt="Is this project subject to an exemption contained in the Texas Engineering Practice Act?  Enter or select &quot;Yes&quot; or &quot;No&quot;." sqref="B50" xr:uid="{9A7CE9E3-9B35-4E8E-AB1F-4B5698AF51B6}">
      <formula1>"Yes,No"</formula1>
    </dataValidation>
    <dataValidation type="list" allowBlank="1" showErrorMessage="1" prompt="Is the estimated capital cost of the project greater than $2 million dollars? Enter or select &quot;Yes&quot; or &quot;No&quot;. Note: If yes, submit the application under the seal of a licensed Texas Professional Engineer (P.E.)." sqref="B49" xr:uid="{C91D1282-D2FC-4D9D-8D3C-8131C9E9C88A}">
      <formula1>"Yes,No"</formula1>
    </dataValidation>
    <dataValidation allowBlank="1" showErrorMessage="1" promptTitle="Note:" prompt="If a P.E. Seal is required, please apply the seal to the hardcopy of this application." sqref="A50:A51" xr:uid="{60095845-A3BD-4FE3-9BF7-77E4FC17DB53}"/>
    <dataValidation allowBlank="1" showErrorMessage="1" promptTitle="Permit Application Fee" prompt="This amount is automatically calculated. If you have a fee exemption, waiver, or alternate fee amount you may enter the corrected application fee in this box." sqref="B36" xr:uid="{B585B81B-4686-45BA-976A-66F87A9964AB}"/>
    <dataValidation allowBlank="1" showErrorMessage="1" promptTitle="Payment Information" prompt="Enter the Company Name as it appears on the check." sqref="B45" xr:uid="{DC4AD1FC-8257-4248-8903-7BB439E883FD}"/>
    <dataValidation allowBlank="1" showErrorMessage="1" promptTitle="Payment Information" prompt="Enter the check, money order, ePay Voucher, or other transaction number." sqref="B44" xr:uid="{060F016E-0EEE-45DB-A04E-558A76993FB7}"/>
    <dataValidation allowBlank="1" showErrorMessage="1" promptTitle="Direct Costs" prompt="Enter the estimated costs for a process and control equipment not previously owned by the applicant and not currently authorized under this chapter." sqref="B13" xr:uid="{ACF80B69-CDEC-4CE1-A8D9-65454DE95888}"/>
    <dataValidation allowBlank="1" showErrorMessage="1" promptTitle="Direct Costs" prompt="Enter the estimated costs for ambient air monitoring network." sqref="B19" xr:uid="{1F1885B8-5146-4144-9D14-A39107AED86A}"/>
    <dataValidation allowBlank="1" showErrorMessage="1" promptTitle="Direct Costs" prompt="Enter the estimated costs for auxiliary buildings, including materials storage, employee facilities, and changes to existing structures." sqref="B18" xr:uid="{B8E83CDD-A614-45DE-A74A-A50B4BF65E9B}"/>
    <dataValidation allowBlank="1" showErrorMessage="1" promptTitle="Direct Costs" prompt="Enter the estimated costs for installation, including foundations, erection of supporting structures, enclosures or weather protection, insulation and painting, utilities and connections, process integration, and process control equipment." sqref="B17" xr:uid="{1D9A22F3-C3CC-4FC5-875F-49CB0B6BD043}"/>
    <dataValidation allowBlank="1" showErrorMessage="1" promptTitle="Direct Costs" prompt="Enter the estimated costs for site preparation, including demolition, construction of fences, outdoor lighting, road, and parking areas." sqref="B16" xr:uid="{63D8C761-0265-41E8-8DF1-4AC6F5F1086A}"/>
    <dataValidation allowBlank="1" showErrorMessage="1" promptTitle="Direct Costs" prompt="Enter the estimated costs for freight charges." sqref="B15" xr:uid="{6764B964-197F-411D-89BD-7B647E004099}"/>
    <dataValidation allowBlank="1" showErrorMessage="1" promptTitle="Direct Costs" prompt="Enter the estimated costs for auxiliary equipment, including exhaust hoods, ducting, fans, pumps, piping, conveyors, stacks, and air pollution control equipment specifically needed to meet permit and regulation requirements." sqref="B14" xr:uid="{B30B4DDB-557B-4796-9790-E8DB9A14D46F}"/>
    <dataValidation allowBlank="1" showErrorMessage="1" promptTitle="Indirect Costs" prompt="Enter the estimated costs for final engineering design and supervision, and administrative overhead." sqref="B24" xr:uid="{B5A43A5A-2F93-457C-8C4C-A57B0A6F0E4F}"/>
    <dataValidation allowBlank="1" showErrorMessage="1" promptTitle="Indirect Costs" prompt="Enter the estimated costs for contractor's fees and overhead." sqref="B26" xr:uid="{4E82067F-AC39-45F8-9965-45C664ECEF2B}"/>
    <dataValidation allowBlank="1" showErrorMessage="1" promptTitle="Indirect Costs" prompt="Enter the estimated costs for construction expense, including construction liaison, securing local building permits, insurance, temporary construction facilities, and construction clean-up." sqref="B25" xr:uid="{DA280417-C18A-4DBE-8928-8085FBC82AF7}"/>
    <dataValidation type="list" allowBlank="1" showErrorMessage="1" promptTitle="Application Type" prompt="If your permit application is for a GHG/PSD/NA permit, enter or select &quot;Major Application.&quot; If this is a regular permit, enter or select &quot;Minor Permit&quot; or &quot;Renewal.&quot; If a fee exemption or reduction applies, enter or select &quot;Fee Exemption/Reduction&quot;." sqref="B9" xr:uid="{6F60A8AA-8E5B-4DD9-8F5C-16856BAA9C4A}">
      <formula1>"Minor Application, Fee Exemption/Reduction for research projects by state agencies or institutions of higher education"</formula1>
    </dataValidation>
    <dataValidation type="list" allowBlank="1" showErrorMessage="1" promptTitle="Payment Information" prompt="Enter the Company Name as it appears on the check." sqref="B9" xr:uid="{2D5A0FD7-B8A8-413F-9FB7-C4F01BD16455}">
      <formula1>"Minor application, "</formula1>
    </dataValidation>
    <dataValidation allowBlank="1" showErrorMessage="1" prompt="This cell intentionally left blank for internal comments. All internal comments must be submitted prior to application submittal." sqref="C5:C51" xr:uid="{D6E0167C-47ED-4913-A7B0-0069ABD820D0}"/>
  </dataValidations>
  <hyperlinks>
    <hyperlink ref="A3" r:id="rId1" xr:uid="{86C747B7-4127-42BF-B3DB-52D90F6D11BB}"/>
    <hyperlink ref="A3:B3" r:id="rId2" tooltip="Click to link to TCEQ's ePay website." display="www3.tceq.texas.gov/epay/" xr:uid="{C100CDE6-C3F5-4E20-AEA4-D69E9F37C3FD}"/>
  </hyperlinks>
  <printOptions horizontalCentered="1"/>
  <pageMargins left="0.25" right="0.25" top="1" bottom="0.5" header="0.3" footer="0.3"/>
  <pageSetup fitToHeight="0" orientation="portrait" cellComments="asDisplayed" r:id="rId3"/>
  <headerFooter scaleWithDoc="0">
    <oddHeader>&amp;C&amp;"Arial,Bold"Texas Commission on Environmental Quality
Form PI-1 General Application&amp;11
&amp;10&amp;A&amp;RDate: ____________
Permit #: ____________
Company: ____________</oddHeader>
    <oddFooter>&amp;LVersion 4.0&amp;CPage &amp;P</oddFooter>
  </headerFooter>
  <tableParts count="6">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CC"/>
  </sheetPr>
  <dimension ref="A1:N69"/>
  <sheetViews>
    <sheetView showGridLines="0" zoomScaleNormal="100" workbookViewId="0">
      <selection sqref="A1:F1"/>
    </sheetView>
  </sheetViews>
  <sheetFormatPr defaultColWidth="0" defaultRowHeight="14.25" zeroHeight="1" x14ac:dyDescent="0.2"/>
  <cols>
    <col min="1" max="1" width="34.125" style="47" customWidth="1"/>
    <col min="2" max="3" width="14.375" style="47" customWidth="1"/>
    <col min="4" max="4" width="16.375" style="47" customWidth="1"/>
    <col min="5" max="5" width="18.5" style="47" customWidth="1"/>
    <col min="6" max="6" width="27.125" style="47" customWidth="1"/>
    <col min="7" max="7" width="40.625" style="47" customWidth="1"/>
    <col min="8" max="8" width="2.625" style="47" customWidth="1"/>
    <col min="9" max="14" width="0" style="47" hidden="1" customWidth="1"/>
    <col min="15" max="16384" width="9" style="47" hidden="1"/>
  </cols>
  <sheetData>
    <row r="1" spans="1:7" ht="18.75" thickBot="1" x14ac:dyDescent="0.25">
      <c r="A1" s="861" t="s">
        <v>214</v>
      </c>
      <c r="B1" s="862"/>
      <c r="C1" s="862"/>
      <c r="D1" s="862"/>
      <c r="E1" s="862"/>
      <c r="F1" s="863"/>
      <c r="G1" s="133" t="s">
        <v>60</v>
      </c>
    </row>
    <row r="2" spans="1:7" ht="61.5" customHeight="1" thickBot="1" x14ac:dyDescent="0.25">
      <c r="A2" s="762" t="s">
        <v>215</v>
      </c>
      <c r="B2" s="853"/>
      <c r="C2" s="853"/>
      <c r="D2" s="853"/>
      <c r="E2" s="853"/>
      <c r="F2" s="231"/>
      <c r="G2" s="64" t="s">
        <v>63</v>
      </c>
    </row>
    <row r="3" spans="1:7" ht="15" customHeight="1" thickBot="1" x14ac:dyDescent="0.25">
      <c r="A3" s="314" t="s">
        <v>4</v>
      </c>
      <c r="B3" s="97"/>
      <c r="C3" s="97"/>
      <c r="D3" s="97"/>
      <c r="E3" s="97"/>
      <c r="F3" s="97"/>
      <c r="G3" s="138"/>
    </row>
    <row r="4" spans="1:7" ht="17.100000000000001" customHeight="1" thickBot="1" x14ac:dyDescent="0.25">
      <c r="A4" s="171" t="s">
        <v>167</v>
      </c>
      <c r="B4" s="172"/>
      <c r="C4" s="172"/>
      <c r="D4" s="172"/>
      <c r="E4" s="172"/>
      <c r="F4" s="286"/>
      <c r="G4" s="139"/>
    </row>
    <row r="5" spans="1:7" ht="15" customHeight="1" x14ac:dyDescent="0.2">
      <c r="A5" s="295" t="s">
        <v>72</v>
      </c>
      <c r="B5" s="227" t="s">
        <v>73</v>
      </c>
      <c r="C5" s="209"/>
      <c r="D5" s="196"/>
      <c r="E5" s="196"/>
      <c r="F5" s="296"/>
      <c r="G5" s="139"/>
    </row>
    <row r="6" spans="1:7" ht="15" customHeight="1" x14ac:dyDescent="0.2">
      <c r="A6" s="59" t="s">
        <v>216</v>
      </c>
      <c r="B6" s="224"/>
      <c r="C6" s="223"/>
      <c r="D6" s="198"/>
      <c r="E6" s="198"/>
      <c r="F6" s="297"/>
      <c r="G6" s="139"/>
    </row>
    <row r="7" spans="1:7" ht="15" customHeight="1" x14ac:dyDescent="0.2">
      <c r="A7" s="257" t="s">
        <v>217</v>
      </c>
      <c r="B7" s="173"/>
      <c r="C7" s="197"/>
      <c r="D7" s="198"/>
      <c r="E7" s="198"/>
      <c r="F7" s="297"/>
      <c r="G7" s="139"/>
    </row>
    <row r="8" spans="1:7" ht="15" customHeight="1" x14ac:dyDescent="0.2">
      <c r="A8" s="282" t="s">
        <v>218</v>
      </c>
      <c r="B8" s="173"/>
      <c r="C8" s="197"/>
      <c r="D8" s="198"/>
      <c r="E8" s="198"/>
      <c r="F8" s="297"/>
      <c r="G8" s="139"/>
    </row>
    <row r="9" spans="1:7" ht="15" customHeight="1" x14ac:dyDescent="0.2">
      <c r="A9" s="282" t="s">
        <v>219</v>
      </c>
      <c r="B9" s="175"/>
      <c r="C9" s="197"/>
      <c r="D9" s="198"/>
      <c r="E9" s="198"/>
      <c r="F9" s="297"/>
      <c r="G9" s="139"/>
    </row>
    <row r="10" spans="1:7" ht="15" thickBot="1" x14ac:dyDescent="0.25">
      <c r="A10" s="258" t="s">
        <v>220</v>
      </c>
      <c r="B10" s="298"/>
      <c r="C10" s="199"/>
      <c r="D10" s="200"/>
      <c r="E10" s="200"/>
      <c r="F10" s="299"/>
      <c r="G10" s="139"/>
    </row>
    <row r="11" spans="1:7" ht="15" customHeight="1" thickBot="1" x14ac:dyDescent="0.25">
      <c r="A11" s="318" t="s">
        <v>4</v>
      </c>
      <c r="B11" s="318" t="s">
        <v>4</v>
      </c>
      <c r="C11" s="85"/>
      <c r="D11" s="85"/>
      <c r="E11" s="85"/>
      <c r="F11" s="85"/>
      <c r="G11" s="139"/>
    </row>
    <row r="12" spans="1:7" ht="17.100000000000001" customHeight="1" thickBot="1" x14ac:dyDescent="0.25">
      <c r="A12" s="162" t="s">
        <v>221</v>
      </c>
      <c r="B12" s="163"/>
      <c r="C12" s="163"/>
      <c r="D12" s="163"/>
      <c r="E12" s="172"/>
      <c r="F12" s="286"/>
      <c r="G12" s="139"/>
    </row>
    <row r="13" spans="1:7" ht="15" customHeight="1" x14ac:dyDescent="0.2">
      <c r="A13" s="336" t="s">
        <v>222</v>
      </c>
      <c r="B13" s="221" t="s">
        <v>223</v>
      </c>
      <c r="C13" s="221" t="s">
        <v>224</v>
      </c>
      <c r="D13" s="222" t="s">
        <v>225</v>
      </c>
      <c r="E13" s="209"/>
      <c r="F13" s="345"/>
      <c r="G13" s="139"/>
    </row>
    <row r="14" spans="1:7" ht="15" customHeight="1" x14ac:dyDescent="0.2">
      <c r="A14" s="334" t="s">
        <v>226</v>
      </c>
      <c r="B14" s="159"/>
      <c r="C14" s="158">
        <v>25</v>
      </c>
      <c r="D14" s="335" t="s">
        <v>855</v>
      </c>
      <c r="E14" s="346"/>
      <c r="F14" s="342"/>
      <c r="G14" s="139"/>
    </row>
    <row r="15" spans="1:7" ht="15" customHeight="1" x14ac:dyDescent="0.2">
      <c r="A15" s="334" t="s">
        <v>227</v>
      </c>
      <c r="B15" s="159"/>
      <c r="C15" s="158">
        <v>0.66</v>
      </c>
      <c r="D15" s="335" t="s">
        <v>855</v>
      </c>
      <c r="E15" s="346"/>
      <c r="F15" s="342"/>
      <c r="G15" s="139"/>
    </row>
    <row r="16" spans="1:7" ht="15" customHeight="1" x14ac:dyDescent="0.2">
      <c r="A16" s="334" t="s">
        <v>228</v>
      </c>
      <c r="B16" s="166"/>
      <c r="C16" s="158">
        <v>828</v>
      </c>
      <c r="D16" s="335" t="s">
        <v>855</v>
      </c>
      <c r="E16" s="346"/>
      <c r="F16" s="342"/>
      <c r="G16" s="139"/>
    </row>
    <row r="17" spans="1:14" ht="15" customHeight="1" x14ac:dyDescent="0.2">
      <c r="A17" s="334" t="s">
        <v>229</v>
      </c>
      <c r="B17" s="159"/>
      <c r="C17" s="158">
        <v>168.7</v>
      </c>
      <c r="D17" s="335" t="s">
        <v>855</v>
      </c>
      <c r="E17" s="346"/>
      <c r="F17" s="342"/>
      <c r="G17" s="139"/>
    </row>
    <row r="18" spans="1:14" ht="15" customHeight="1" x14ac:dyDescent="0.2">
      <c r="A18" s="334" t="s">
        <v>230</v>
      </c>
      <c r="B18" s="166"/>
      <c r="C18" s="158" t="s">
        <v>855</v>
      </c>
      <c r="D18" s="335" t="s">
        <v>855</v>
      </c>
      <c r="E18" s="346"/>
      <c r="F18" s="342"/>
      <c r="G18" s="139"/>
      <c r="N18" s="48"/>
    </row>
    <row r="19" spans="1:14" ht="15" customHeight="1" x14ac:dyDescent="0.2">
      <c r="A19" s="334" t="s">
        <v>231</v>
      </c>
      <c r="B19" s="159"/>
      <c r="C19" s="158" t="s">
        <v>855</v>
      </c>
      <c r="D19" s="335" t="s">
        <v>855</v>
      </c>
      <c r="E19" s="346"/>
      <c r="F19" s="342"/>
      <c r="G19" s="139"/>
    </row>
    <row r="20" spans="1:14" ht="15" customHeight="1" x14ac:dyDescent="0.2">
      <c r="A20" s="334" t="s">
        <v>232</v>
      </c>
      <c r="B20" s="159"/>
      <c r="C20" s="158" t="s">
        <v>855</v>
      </c>
      <c r="D20" s="335">
        <v>15</v>
      </c>
      <c r="E20" s="346"/>
      <c r="F20" s="342"/>
      <c r="G20" s="139"/>
    </row>
    <row r="21" spans="1:14" ht="30" customHeight="1" x14ac:dyDescent="0.2">
      <c r="A21" s="234" t="s">
        <v>233</v>
      </c>
      <c r="B21" s="159"/>
      <c r="C21" s="158" t="s">
        <v>855</v>
      </c>
      <c r="D21" s="335" t="s">
        <v>855</v>
      </c>
      <c r="E21" s="346"/>
      <c r="F21" s="342"/>
      <c r="G21" s="139"/>
    </row>
    <row r="22" spans="1:14" ht="15" customHeight="1" x14ac:dyDescent="0.2">
      <c r="A22" s="234" t="s">
        <v>234</v>
      </c>
      <c r="B22" s="159"/>
      <c r="C22" s="158" t="s">
        <v>855</v>
      </c>
      <c r="D22" s="335" t="s">
        <v>855</v>
      </c>
      <c r="E22" s="346"/>
      <c r="F22" s="342"/>
      <c r="G22" s="139"/>
    </row>
    <row r="23" spans="1:14" ht="15" customHeight="1" x14ac:dyDescent="0.2">
      <c r="A23" s="234" t="s">
        <v>235</v>
      </c>
      <c r="B23" s="159"/>
      <c r="C23" s="158" t="s">
        <v>855</v>
      </c>
      <c r="D23" s="335" t="s">
        <v>855</v>
      </c>
      <c r="E23" s="346"/>
      <c r="F23" s="342"/>
      <c r="G23" s="139"/>
    </row>
    <row r="24" spans="1:14" ht="15" customHeight="1" x14ac:dyDescent="0.2">
      <c r="A24" s="334" t="s">
        <v>236</v>
      </c>
      <c r="B24" s="159"/>
      <c r="C24" s="158" t="s">
        <v>855</v>
      </c>
      <c r="D24" s="335">
        <v>10</v>
      </c>
      <c r="E24" s="346"/>
      <c r="F24" s="342"/>
      <c r="G24" s="139"/>
      <c r="I24" s="47" t="b">
        <f>$B$21="NO"</f>
        <v>0</v>
      </c>
    </row>
    <row r="25" spans="1:14" ht="15" customHeight="1" x14ac:dyDescent="0.2">
      <c r="A25" s="334" t="s">
        <v>237</v>
      </c>
      <c r="B25" s="159"/>
      <c r="C25" s="158" t="s">
        <v>855</v>
      </c>
      <c r="D25" s="335">
        <v>300</v>
      </c>
      <c r="E25" s="346"/>
      <c r="F25" s="342"/>
      <c r="G25" s="139"/>
    </row>
    <row r="26" spans="1:14" ht="15" customHeight="1" thickBot="1" x14ac:dyDescent="0.25">
      <c r="A26" s="337" t="s">
        <v>238</v>
      </c>
      <c r="B26" s="338">
        <f>B17*60*PI()/4*B15^2*(459.67+60)/(459.67+B16)</f>
        <v>0</v>
      </c>
      <c r="C26" s="339" t="s">
        <v>855</v>
      </c>
      <c r="D26" s="340" t="s">
        <v>855</v>
      </c>
      <c r="E26" s="347"/>
      <c r="F26" s="348"/>
      <c r="G26" s="139"/>
    </row>
    <row r="27" spans="1:14" ht="15" customHeight="1" thickBot="1" x14ac:dyDescent="0.25">
      <c r="A27" s="315"/>
      <c r="B27" s="284"/>
      <c r="C27" s="284"/>
      <c r="D27" s="284"/>
      <c r="E27" s="284"/>
      <c r="F27" s="264"/>
      <c r="G27" s="139"/>
    </row>
    <row r="28" spans="1:14" ht="15" customHeight="1" thickBot="1" x14ac:dyDescent="0.25">
      <c r="A28" s="160" t="s">
        <v>239</v>
      </c>
      <c r="B28" s="161"/>
      <c r="C28" s="161"/>
      <c r="D28" s="161"/>
      <c r="E28" s="161"/>
      <c r="F28" s="286"/>
      <c r="G28" s="139"/>
    </row>
    <row r="29" spans="1:14" ht="30" x14ac:dyDescent="0.2">
      <c r="A29" s="225" t="s">
        <v>240</v>
      </c>
      <c r="B29" s="63" t="s">
        <v>241</v>
      </c>
      <c r="C29" s="221" t="s">
        <v>242</v>
      </c>
      <c r="D29" s="357" t="s">
        <v>243</v>
      </c>
      <c r="E29" s="866" t="s">
        <v>244</v>
      </c>
      <c r="F29" s="867"/>
      <c r="G29" s="139"/>
    </row>
    <row r="30" spans="1:14" x14ac:dyDescent="0.2">
      <c r="A30" s="334" t="s">
        <v>245</v>
      </c>
      <c r="B30" s="153"/>
      <c r="C30" s="158" t="s">
        <v>246</v>
      </c>
      <c r="D30" s="355"/>
      <c r="E30" s="864" t="str">
        <f>IFERROR(INDEX(Reference!$AQ$14:$AQ$17,MATCH(D30,EngDDSource,0)),"")</f>
        <v/>
      </c>
      <c r="F30" s="865"/>
      <c r="G30" s="139"/>
    </row>
    <row r="31" spans="1:14" x14ac:dyDescent="0.2">
      <c r="A31" s="334" t="s">
        <v>247</v>
      </c>
      <c r="B31" s="153"/>
      <c r="C31" s="158" t="s">
        <v>246</v>
      </c>
      <c r="D31" s="355"/>
      <c r="E31" s="864" t="str">
        <f>IFERROR(INDEX(Reference!$AQ$14:$AQ$17,MATCH(D31,EngDDSource,0)),"")</f>
        <v/>
      </c>
      <c r="F31" s="865"/>
      <c r="G31" s="139"/>
    </row>
    <row r="32" spans="1:14" x14ac:dyDescent="0.2">
      <c r="A32" s="334" t="s">
        <v>248</v>
      </c>
      <c r="B32" s="153"/>
      <c r="C32" s="158" t="s">
        <v>246</v>
      </c>
      <c r="D32" s="355"/>
      <c r="E32" s="864" t="str">
        <f>IFERROR(INDEX(Reference!$AQ$14:$AQ$17,MATCH(D32,EngDDSource,0)),"")</f>
        <v/>
      </c>
      <c r="F32" s="865"/>
      <c r="G32" s="139"/>
    </row>
    <row r="33" spans="1:12" x14ac:dyDescent="0.2">
      <c r="A33" s="334" t="s">
        <v>249</v>
      </c>
      <c r="B33" s="153"/>
      <c r="C33" s="158" t="s">
        <v>246</v>
      </c>
      <c r="D33" s="355"/>
      <c r="E33" s="864" t="str">
        <f>IFERROR(INDEX(Reference!$AQ$14:$AQ$17,MATCH(D33,EngDDSource,0)),"")</f>
        <v/>
      </c>
      <c r="F33" s="865"/>
      <c r="G33" s="139"/>
    </row>
    <row r="34" spans="1:12" x14ac:dyDescent="0.2">
      <c r="A34" s="334" t="s">
        <v>250</v>
      </c>
      <c r="B34" s="153"/>
      <c r="C34" s="158" t="s">
        <v>246</v>
      </c>
      <c r="D34" s="355"/>
      <c r="E34" s="864" t="str">
        <f>IFERROR(INDEX(Reference!$AQ$14:$AQ$17,MATCH(D34,EngDDSource,0)),"")</f>
        <v/>
      </c>
      <c r="F34" s="865"/>
      <c r="G34" s="139"/>
    </row>
    <row r="35" spans="1:12" x14ac:dyDescent="0.2">
      <c r="A35" s="334" t="s">
        <v>251</v>
      </c>
      <c r="B35" s="153"/>
      <c r="C35" s="158" t="s">
        <v>246</v>
      </c>
      <c r="D35" s="355"/>
      <c r="E35" s="864" t="str">
        <f>IFERROR(INDEX(Reference!$AQ$14:$AQ$17,MATCH(D35,EngDDSource,0)),"")</f>
        <v/>
      </c>
      <c r="F35" s="865"/>
      <c r="G35" s="139"/>
    </row>
    <row r="36" spans="1:12" ht="33.75" customHeight="1" x14ac:dyDescent="0.2">
      <c r="A36" s="334" t="s">
        <v>252</v>
      </c>
      <c r="B36" s="155" t="s">
        <v>855</v>
      </c>
      <c r="C36" s="158" t="s">
        <v>855</v>
      </c>
      <c r="D36" s="356" t="s">
        <v>253</v>
      </c>
      <c r="E36" s="864" t="s">
        <v>254</v>
      </c>
      <c r="F36" s="865"/>
      <c r="G36" s="139"/>
    </row>
    <row r="37" spans="1:12" ht="33.75" customHeight="1" x14ac:dyDescent="0.2">
      <c r="A37" s="334" t="s">
        <v>255</v>
      </c>
      <c r="B37" s="155" t="s">
        <v>855</v>
      </c>
      <c r="C37" s="158" t="s">
        <v>855</v>
      </c>
      <c r="D37" s="356" t="s">
        <v>253</v>
      </c>
      <c r="E37" s="864" t="s">
        <v>256</v>
      </c>
      <c r="F37" s="865"/>
      <c r="G37" s="139"/>
    </row>
    <row r="38" spans="1:12" ht="33.75" customHeight="1" thickBot="1" x14ac:dyDescent="0.25">
      <c r="A38" s="337" t="s">
        <v>257</v>
      </c>
      <c r="B38" s="341" t="s">
        <v>855</v>
      </c>
      <c r="C38" s="341" t="s">
        <v>855</v>
      </c>
      <c r="D38" s="358" t="s">
        <v>253</v>
      </c>
      <c r="E38" s="876" t="s">
        <v>258</v>
      </c>
      <c r="F38" s="877"/>
      <c r="G38" s="139"/>
      <c r="I38" s="47" t="b">
        <f>$I$24</f>
        <v>0</v>
      </c>
    </row>
    <row r="39" spans="1:12" ht="15" customHeight="1" thickBot="1" x14ac:dyDescent="0.25">
      <c r="A39" s="873"/>
      <c r="B39" s="874"/>
      <c r="C39" s="874"/>
      <c r="D39" s="874"/>
      <c r="E39" s="875"/>
      <c r="F39" s="198"/>
      <c r="G39" s="139"/>
    </row>
    <row r="40" spans="1:12" ht="17.100000000000001" customHeight="1" thickBot="1" x14ac:dyDescent="0.25">
      <c r="A40" s="160" t="s">
        <v>259</v>
      </c>
      <c r="B40" s="161"/>
      <c r="C40" s="161"/>
      <c r="D40" s="161"/>
      <c r="E40" s="161"/>
      <c r="F40" s="286"/>
      <c r="G40" s="139"/>
    </row>
    <row r="41" spans="1:12" ht="46.5" customHeight="1" x14ac:dyDescent="0.2">
      <c r="A41" s="733" t="s">
        <v>260</v>
      </c>
      <c r="B41" s="842"/>
      <c r="C41" s="842"/>
      <c r="D41" s="842"/>
      <c r="E41" s="842"/>
      <c r="F41" s="868"/>
      <c r="G41" s="139"/>
    </row>
    <row r="42" spans="1:12" ht="49.5" customHeight="1" x14ac:dyDescent="0.2">
      <c r="A42" s="225" t="s">
        <v>240</v>
      </c>
      <c r="B42" s="221" t="s">
        <v>261</v>
      </c>
      <c r="C42" s="221" t="s">
        <v>262</v>
      </c>
      <c r="D42" s="221" t="s">
        <v>263</v>
      </c>
      <c r="E42" s="222" t="s">
        <v>264</v>
      </c>
      <c r="F42" s="343"/>
      <c r="G42" s="139"/>
    </row>
    <row r="43" spans="1:12" ht="15" customHeight="1" x14ac:dyDescent="0.2">
      <c r="A43" s="334" t="s">
        <v>245</v>
      </c>
      <c r="B43" s="167">
        <f t="shared" ref="B43:B48" si="0">$B$18*B30/453.6</f>
        <v>0</v>
      </c>
      <c r="C43" s="60">
        <v>1.85</v>
      </c>
      <c r="D43" s="167">
        <f t="shared" ref="D43:D51" si="1">B43*$B$25/2000</f>
        <v>0</v>
      </c>
      <c r="E43" s="335">
        <v>0.27750000000000002</v>
      </c>
      <c r="F43" s="297"/>
      <c r="G43" s="139"/>
      <c r="J43" s="47" t="b">
        <f>$B43&gt;$C43</f>
        <v>0</v>
      </c>
      <c r="L43" s="47" t="b">
        <f>$D43&gt;$E43</f>
        <v>0</v>
      </c>
    </row>
    <row r="44" spans="1:12" ht="15" customHeight="1" x14ac:dyDescent="0.2">
      <c r="A44" s="334" t="s">
        <v>247</v>
      </c>
      <c r="B44" s="167">
        <f t="shared" si="0"/>
        <v>0</v>
      </c>
      <c r="C44" s="60">
        <v>5.43</v>
      </c>
      <c r="D44" s="167">
        <f t="shared" si="1"/>
        <v>0</v>
      </c>
      <c r="E44" s="335" t="s">
        <v>855</v>
      </c>
      <c r="F44" s="297"/>
      <c r="G44" s="139"/>
      <c r="J44" s="47" t="b">
        <f t="shared" ref="J44:J51" si="2">$B44&gt;$C44</f>
        <v>0</v>
      </c>
    </row>
    <row r="45" spans="1:12" ht="15" customHeight="1" x14ac:dyDescent="0.2">
      <c r="A45" s="334" t="s">
        <v>248</v>
      </c>
      <c r="B45" s="167">
        <f t="shared" si="0"/>
        <v>0</v>
      </c>
      <c r="C45" s="158" t="s">
        <v>855</v>
      </c>
      <c r="D45" s="167">
        <f t="shared" si="1"/>
        <v>0</v>
      </c>
      <c r="E45" s="335" t="s">
        <v>855</v>
      </c>
      <c r="F45" s="297"/>
      <c r="G45" s="139"/>
    </row>
    <row r="46" spans="1:12" ht="15" customHeight="1" x14ac:dyDescent="0.2">
      <c r="A46" s="334" t="s">
        <v>249</v>
      </c>
      <c r="B46" s="167">
        <f t="shared" si="0"/>
        <v>0</v>
      </c>
      <c r="C46" s="61">
        <v>2.1999999999999999E-2</v>
      </c>
      <c r="D46" s="167">
        <f t="shared" si="1"/>
        <v>0</v>
      </c>
      <c r="E46" s="335" t="s">
        <v>855</v>
      </c>
      <c r="F46" s="297"/>
      <c r="G46" s="139"/>
      <c r="J46" s="47" t="b">
        <f t="shared" si="2"/>
        <v>0</v>
      </c>
    </row>
    <row r="47" spans="1:12" ht="15" customHeight="1" x14ac:dyDescent="0.2">
      <c r="A47" s="334" t="s">
        <v>250</v>
      </c>
      <c r="B47" s="167">
        <f t="shared" si="0"/>
        <v>0</v>
      </c>
      <c r="C47" s="61">
        <v>2.1999999999999999E-2</v>
      </c>
      <c r="D47" s="167">
        <f t="shared" si="1"/>
        <v>0</v>
      </c>
      <c r="E47" s="335">
        <v>3.3999999999999998E-3</v>
      </c>
      <c r="F47" s="297"/>
      <c r="G47" s="139"/>
      <c r="J47" s="47" t="b">
        <f t="shared" si="2"/>
        <v>0</v>
      </c>
      <c r="L47" s="47" t="b">
        <f t="shared" ref="L47:L51" si="3">$D47&gt;$E47</f>
        <v>0</v>
      </c>
    </row>
    <row r="48" spans="1:12" ht="15" customHeight="1" x14ac:dyDescent="0.2">
      <c r="A48" s="334" t="s">
        <v>251</v>
      </c>
      <c r="B48" s="167">
        <f t="shared" si="0"/>
        <v>0</v>
      </c>
      <c r="C48" s="158" t="s">
        <v>855</v>
      </c>
      <c r="D48" s="167">
        <f t="shared" si="1"/>
        <v>0</v>
      </c>
      <c r="E48" s="335" t="s">
        <v>855</v>
      </c>
      <c r="F48" s="297"/>
      <c r="G48" s="139"/>
    </row>
    <row r="49" spans="1:12" ht="15" customHeight="1" x14ac:dyDescent="0.2">
      <c r="A49" s="334" t="s">
        <v>252</v>
      </c>
      <c r="B49" s="167">
        <f>$B$19*7.05*$B$18*($B$20/1000000)*(64/32)</f>
        <v>0</v>
      </c>
      <c r="C49" s="61">
        <v>5.8999999999999997E-2</v>
      </c>
      <c r="D49" s="167">
        <f t="shared" si="1"/>
        <v>0</v>
      </c>
      <c r="E49" s="335">
        <v>8.8000000000000005E-3</v>
      </c>
      <c r="F49" s="297"/>
      <c r="G49" s="139"/>
      <c r="J49" s="47" t="b">
        <f t="shared" si="2"/>
        <v>0</v>
      </c>
      <c r="L49" s="47" t="b">
        <f t="shared" si="3"/>
        <v>0</v>
      </c>
    </row>
    <row r="50" spans="1:12" ht="15" customHeight="1" x14ac:dyDescent="0.2">
      <c r="A50" s="334" t="s">
        <v>255</v>
      </c>
      <c r="B50" s="167">
        <f>$B$49*(1/64.06)*(0.1/1)*98.07</f>
        <v>0</v>
      </c>
      <c r="C50" s="62">
        <v>5.7000000000000002E-3</v>
      </c>
      <c r="D50" s="167">
        <f t="shared" si="1"/>
        <v>0</v>
      </c>
      <c r="E50" s="335" t="s">
        <v>855</v>
      </c>
      <c r="F50" s="297"/>
      <c r="G50" s="139"/>
      <c r="J50" s="47" t="b">
        <f t="shared" si="2"/>
        <v>0</v>
      </c>
    </row>
    <row r="51" spans="1:12" ht="15" customHeight="1" x14ac:dyDescent="0.2">
      <c r="A51" s="337" t="s">
        <v>257</v>
      </c>
      <c r="B51" s="619">
        <f>IF(B21="no",0,$B$24*(17/379)*$B$26*(60/1000000))</f>
        <v>0</v>
      </c>
      <c r="C51" s="226">
        <v>0.129</v>
      </c>
      <c r="D51" s="620">
        <f t="shared" si="1"/>
        <v>0</v>
      </c>
      <c r="E51" s="340">
        <v>1.9300000000000001E-2</v>
      </c>
      <c r="F51" s="297"/>
      <c r="G51" s="139"/>
      <c r="I51" s="47" t="b">
        <f>$I$24</f>
        <v>0</v>
      </c>
      <c r="J51" s="47" t="b">
        <f t="shared" si="2"/>
        <v>0</v>
      </c>
      <c r="L51" s="47" t="b">
        <f t="shared" si="3"/>
        <v>0</v>
      </c>
    </row>
    <row r="52" spans="1:12" ht="90.75" customHeight="1" thickBot="1" x14ac:dyDescent="0.25">
      <c r="A52" s="878" t="s">
        <v>265</v>
      </c>
      <c r="B52" s="844"/>
      <c r="C52" s="844"/>
      <c r="D52" s="844"/>
      <c r="E52" s="844"/>
      <c r="F52" s="879"/>
      <c r="G52" s="139"/>
    </row>
    <row r="53" spans="1:12" ht="15" customHeight="1" thickBot="1" x14ac:dyDescent="0.25">
      <c r="A53" s="365"/>
      <c r="B53" s="154"/>
      <c r="C53" s="154"/>
      <c r="D53" s="154"/>
      <c r="E53" s="154"/>
      <c r="F53" s="154"/>
      <c r="G53" s="139"/>
    </row>
    <row r="54" spans="1:12" ht="17.100000000000001" customHeight="1" thickBot="1" x14ac:dyDescent="0.25">
      <c r="A54" s="156" t="s">
        <v>266</v>
      </c>
      <c r="B54" s="157"/>
      <c r="C54" s="157"/>
      <c r="D54" s="157"/>
      <c r="E54" s="157"/>
      <c r="F54" s="286"/>
      <c r="G54" s="139"/>
    </row>
    <row r="55" spans="1:12" ht="20.100000000000001" customHeight="1" thickBot="1" x14ac:dyDescent="0.25">
      <c r="A55" s="202" t="s">
        <v>267</v>
      </c>
      <c r="B55" s="203"/>
      <c r="C55" s="203"/>
      <c r="D55" s="203"/>
      <c r="E55" s="203"/>
      <c r="F55" s="362"/>
      <c r="G55" s="139"/>
    </row>
    <row r="56" spans="1:12" ht="20.100000000000001" customHeight="1" x14ac:dyDescent="0.2">
      <c r="A56" s="204" t="s">
        <v>268</v>
      </c>
      <c r="B56" s="201"/>
      <c r="C56" s="201"/>
      <c r="D56" s="201"/>
      <c r="E56" s="201"/>
      <c r="F56" s="352"/>
      <c r="G56" s="139"/>
    </row>
    <row r="57" spans="1:12" customFormat="1" ht="20.100000000000001" customHeight="1" x14ac:dyDescent="0.2">
      <c r="A57" s="872" t="str">
        <f>"("&amp;TEXT($B$18,"#,##0")&amp;" hp × "&amp;$B$30&amp;" g/hp-hr)"&amp;" ÷ 453.6 lb/g = "&amp;TEXT(($B$18*B30)/453.6,"#,##0.00##")&amp;" lb/hr"</f>
        <v>(0 hp ×  g/hp-hr) ÷ 453.6 lb/g = 0.00 lb/hr</v>
      </c>
      <c r="B57" s="858"/>
      <c r="C57" s="858"/>
      <c r="D57" s="858"/>
      <c r="E57" s="858"/>
      <c r="F57" s="297"/>
      <c r="G57" s="193"/>
    </row>
    <row r="58" spans="1:12" ht="20.100000000000001" customHeight="1" x14ac:dyDescent="0.2">
      <c r="A58" s="205" t="s">
        <v>269</v>
      </c>
      <c r="B58" s="206"/>
      <c r="C58" s="206"/>
      <c r="D58" s="206"/>
      <c r="E58" s="206"/>
      <c r="F58" s="354"/>
      <c r="G58" s="139"/>
    </row>
    <row r="59" spans="1:12" customFormat="1" ht="21.75" customHeight="1" x14ac:dyDescent="0.2">
      <c r="A59" s="869" t="str">
        <f>"("&amp;TEXT(B19,"#,##0")&amp;" gal diesel/hp-hr × 7.05 lb diesel/gal diesel × "&amp;TEXT($B$18,"#,##0")&amp;" hp)"&amp;" × ("&amp;$B$20&amp;" lb S ÷ 1,000,000 lb diesel)"&amp;" × (64 lb SO2 ÷ 32 lb S) = "&amp;TEXT($B$19*7.05*$B$18*($B$20/1000000)*(64/32),"#,##0.00##")&amp;" lb/hr"</f>
        <v>(0 gal diesel/hp-hr × 7.05 lb diesel/gal diesel × 0 hp) × ( lb S ÷ 1,000,000 lb diesel) × (64 lb SO2 ÷ 32 lb S) = 0.00 lb/hr</v>
      </c>
      <c r="B59" s="870"/>
      <c r="C59" s="870"/>
      <c r="D59" s="870"/>
      <c r="E59" s="870"/>
      <c r="F59" s="871"/>
      <c r="G59" s="193"/>
    </row>
    <row r="60" spans="1:12" ht="20.100000000000001" customHeight="1" x14ac:dyDescent="0.2">
      <c r="A60" s="353" t="s">
        <v>270</v>
      </c>
      <c r="B60" s="271"/>
      <c r="C60" s="271"/>
      <c r="D60" s="271"/>
      <c r="E60" s="271"/>
      <c r="F60" s="363"/>
      <c r="G60" s="139"/>
    </row>
    <row r="61" spans="1:12" customFormat="1" ht="30" customHeight="1" x14ac:dyDescent="0.2">
      <c r="A61" s="707" t="str">
        <f>"("&amp;TEXT($B$49,"#,##0.00")&amp;" lb/hr) × (1 lb mol SO2 ÷ 64.06 lb SO2) × (0.1 lb mol SO3 ÷ 1 lb mol SO2) × (1 lb mol H2SO4 ÷ 1 lb mol SO3) × (98.07 lb H2SO4 ÷ 1 lb mol H2SO4) "&amp;" = "&amp;TEXT($B$49*(1/64.06)*(0.1/1)*98.07,"#,##0.00##")&amp;" lb/hr"</f>
        <v>(0.00 lb/hr) × (1 lb mol SO2 ÷ 64.06 lb SO2) × (0.1 lb mol SO3 ÷ 1 lb mol SO2) × (1 lb mol H2SO4 ÷ 1 lb mol SO3) × (98.07 lb H2SO4 ÷ 1 lb mol H2SO4)  = 0.00 lb/hr</v>
      </c>
      <c r="B61" s="859"/>
      <c r="C61" s="859"/>
      <c r="D61" s="859"/>
      <c r="E61" s="859"/>
      <c r="F61" s="860"/>
      <c r="G61" s="193"/>
    </row>
    <row r="62" spans="1:12" ht="20.100000000000001" customHeight="1" x14ac:dyDescent="0.2">
      <c r="A62" s="90" t="s">
        <v>271</v>
      </c>
      <c r="B62" s="91"/>
      <c r="C62" s="91"/>
      <c r="D62" s="91"/>
      <c r="E62" s="91"/>
      <c r="F62" s="92"/>
      <c r="G62" s="139"/>
    </row>
    <row r="63" spans="1:12" ht="20.100000000000001" customHeight="1" x14ac:dyDescent="0.2">
      <c r="A63" s="205" t="s">
        <v>272</v>
      </c>
      <c r="B63" s="206"/>
      <c r="C63" s="206"/>
      <c r="D63" s="206"/>
      <c r="E63" s="206"/>
      <c r="F63" s="354"/>
      <c r="G63" s="139"/>
      <c r="I63" s="47" t="b">
        <f>$I$24</f>
        <v>0</v>
      </c>
    </row>
    <row r="64" spans="1:12" customFormat="1" ht="20.100000000000001" customHeight="1" x14ac:dyDescent="0.2">
      <c r="A64" s="869" t="str">
        <f>"("&amp;TEXT($B$24,"#,##0.00")&amp;" ppm NH3 × 17 lb NH3/lb-mol × "&amp;TEXT($B$26,"#,##0.00")&amp;" scf/min × 60 min/hr) ÷ (379.00 dscf/lb-mol × 1000000) = "&amp;TEXT($B$24*(17/379)*$B$26*(60/1000000),"#,##0.00##")&amp;" lb/hr"</f>
        <v>(0.00 ppm NH3 × 17 lb NH3/lb-mol × 0.00 scf/min × 60 min/hr) ÷ (379.00 dscf/lb-mol × 1000000) = 0.00 lb/hr</v>
      </c>
      <c r="B64" s="870"/>
      <c r="C64" s="870"/>
      <c r="D64" s="870"/>
      <c r="E64" s="870"/>
      <c r="F64" s="871"/>
      <c r="G64" s="193"/>
      <c r="I64" s="47" t="b">
        <f>$I$24</f>
        <v>0</v>
      </c>
    </row>
    <row r="65" spans="1:8" ht="20.100000000000001" customHeight="1" x14ac:dyDescent="0.2">
      <c r="A65" s="353" t="s">
        <v>273</v>
      </c>
      <c r="B65" s="271"/>
      <c r="C65" s="271"/>
      <c r="D65" s="271"/>
      <c r="E65" s="271"/>
      <c r="F65" s="363"/>
      <c r="G65" s="139"/>
    </row>
    <row r="66" spans="1:8" customFormat="1" ht="20.100000000000001" customHeight="1" thickBot="1" x14ac:dyDescent="0.25">
      <c r="A66" s="207" t="str">
        <f>"("&amp;TEXT($B$43,"#,##0.00")&amp;" lb/hr × "&amp;$B$25&amp;" hr/yr)"&amp;" ÷  2000 lb/ton = "&amp;TEXT(($B$43*$B$25)/2000,"#,##0.00##")&amp;" tpy"</f>
        <v>(0.00 lb/hr ×  hr/yr) ÷  2000 lb/ton = 0.00 tpy</v>
      </c>
      <c r="B66" s="208"/>
      <c r="C66" s="208"/>
      <c r="D66" s="208"/>
      <c r="E66" s="208"/>
      <c r="F66" s="364"/>
      <c r="G66" s="143"/>
    </row>
    <row r="67" spans="1:8" ht="8.4499999999999993" customHeight="1" x14ac:dyDescent="0.2">
      <c r="A67" s="317"/>
      <c r="B67" s="152"/>
      <c r="C67" s="152"/>
      <c r="D67" s="152"/>
      <c r="E67" s="152"/>
      <c r="F67" s="152"/>
      <c r="G67" s="152"/>
      <c r="H67" s="15"/>
    </row>
    <row r="68" spans="1:8" x14ac:dyDescent="0.2">
      <c r="A68" s="812" t="str">
        <f>HYPERLINK("#Sheet_Eng2","End of sheet. Click here to move to the next sheet.")</f>
        <v>End of sheet. Click here to move to the next sheet.</v>
      </c>
      <c r="B68" s="858"/>
      <c r="C68" s="858"/>
      <c r="D68" s="858"/>
      <c r="E68" s="858"/>
      <c r="F68" s="858"/>
      <c r="G68" s="146"/>
    </row>
    <row r="69" spans="1:8" ht="8.4499999999999993" hidden="1" customHeight="1" x14ac:dyDescent="0.2">
      <c r="A69" s="97"/>
      <c r="B69" s="97"/>
      <c r="C69" s="97"/>
      <c r="D69" s="97"/>
      <c r="E69" s="97"/>
      <c r="F69" s="97"/>
      <c r="G69" s="97"/>
    </row>
  </sheetData>
  <sheetProtection algorithmName="SHA-512" hashValue="rb+Zx5u0vzJC/nwljFYIaYVfwMsQGEzL5N39cMGnDOhV+vTzC0Iav400kxjxFrXcSfmwmwmHMpVVeWyUHqjb0A==" saltValue="QM4HZPftPn8VrIgppyerow==" spinCount="100000" sheet="1" objects="1" scenarios="1" formatColumns="0" formatRows="0" autoFilter="0"/>
  <sortState xmlns:xlrd2="http://schemas.microsoft.com/office/spreadsheetml/2017/richdata2" ref="L19:M41">
    <sortCondition ref="L19"/>
  </sortState>
  <mergeCells count="20">
    <mergeCell ref="E32:F32"/>
    <mergeCell ref="E31:F31"/>
    <mergeCell ref="A64:F64"/>
    <mergeCell ref="A52:F52"/>
    <mergeCell ref="A68:F68"/>
    <mergeCell ref="A61:F61"/>
    <mergeCell ref="A1:F1"/>
    <mergeCell ref="E30:F30"/>
    <mergeCell ref="E29:F29"/>
    <mergeCell ref="A41:F41"/>
    <mergeCell ref="A59:F59"/>
    <mergeCell ref="A2:E2"/>
    <mergeCell ref="A57:E57"/>
    <mergeCell ref="A39:E39"/>
    <mergeCell ref="E36:F36"/>
    <mergeCell ref="E37:F37"/>
    <mergeCell ref="E38:F38"/>
    <mergeCell ref="E35:F35"/>
    <mergeCell ref="E34:F34"/>
    <mergeCell ref="E33:F33"/>
  </mergeCells>
  <conditionalFormatting sqref="A24:D24 A38:F38 A51:E51 A63:F64">
    <cfRule type="expression" dxfId="79" priority="1">
      <formula>$I24</formula>
    </cfRule>
  </conditionalFormatting>
  <conditionalFormatting sqref="B43:E51">
    <cfRule type="expression" dxfId="78" priority="6">
      <formula>J43</formula>
    </cfRule>
  </conditionalFormatting>
  <dataValidations count="27">
    <dataValidation type="list" allowBlank="1" showErrorMessage="1" promptTitle="UTM Zone" prompt="Enter the UTM Coordinates zone for the EPN &quot;Engine1&quot;. In Texas, this must be 13, 14, or 15." sqref="B8" xr:uid="{6DA9F3F7-162C-4422-8838-CB5933ADB67C}">
      <formula1>"13,14,15"</formula1>
    </dataValidation>
    <dataValidation type="decimal" operator="lessThanOrEqual" allowBlank="1" showErrorMessage="1" promptTitle="Emission Factor" prompt="Enter the emission factor for volatile organic compounds (VOC), in grams per horsepower-hour. The pounds per hour (lb/hr) and tons per year (tpy) will automatically calculate in cells to the right." sqref="B35" xr:uid="{BC3450BA-3B93-4B0C-B633-074886181163}">
      <formula1>100</formula1>
    </dataValidation>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9" xr:uid="{BE005F62-ADB8-41BA-8A26-425377287A40}">
      <formula1>205000</formula1>
      <formula2>795000</formula2>
    </dataValidation>
    <dataValidation type="decimal" allowBlank="1" showErrorMessage="1" errorTitle="North (Meters)" error="Enter a value between 2854000 and 4059000 meters." promptTitle="UTM North" prompt="Enter the distance north of the zone datum for this EPN, in meters. This is a six-digit number between 2854000 and 4059000." sqref="B10" xr:uid="{E0F6ABE1-6237-49FA-9E6F-B086B37CBD41}">
      <formula1>2854000</formula1>
      <formula2>4059000</formula2>
    </dataValidation>
    <dataValidation type="list" allowBlank="1" showErrorMessage="1" promptTitle="Input Parameters" prompt="Is there a selective catalytic reduction (SCR) system for this engine? Select or enter yes or no." sqref="B21" xr:uid="{C89C4144-354B-49F5-A5D6-691D7EFCC5FE}">
      <formula1>"Yes,No"</formula1>
    </dataValidation>
    <dataValidation type="decimal" operator="greaterThanOrEqual" allowBlank="1" showErrorMessage="1" errorTitle="Maximum Value Exceeded" error="Please enter a value for this parameter below the maximum value." prompt="Exhaust gas flow rate is deteremined by input parameters." sqref="B26" xr:uid="{CF04CFBE-22FD-4C5E-A1DB-1B1EB1B6823B}">
      <formula1>0</formula1>
    </dataValidation>
    <dataValidation type="decimal" operator="greaterThanOrEqual" allowBlank="1" showErrorMessage="1" errorTitle="Maximum Value Exceeded" error="Please enter a value for this parameter below the maximum value." promptTitle="Input Parameters" prompt="Enter the fuel consumption rate, in pounds of diesel per horsepower-hour._x000a_" sqref="B19" xr:uid="{6DC6DE42-A476-4B4C-9A5F-C2DFACB56445}">
      <formula1>0</formula1>
    </dataValidation>
    <dataValidation operator="greaterThanOrEqual" allowBlank="1" showErrorMessage="1" errorTitle="Maximum Value Exceeded" error="Please enter a value for this parameter below the maximum value." promptTitle="Input Parameters" prompt="Enter the rated brake horsepower (BHP) in horsepower (hp). Note that this value must be less than __." sqref="B18" xr:uid="{1C1F6E85-33EC-48D3-86A8-0AEC22259F44}"/>
    <dataValidation type="list" allowBlank="1" showErrorMessage="1" promptTitle="Input Parameters" prompt="Is there an oxidation catalyst? Select or enter yes or no." sqref="B22" xr:uid="{52E231BF-15D2-45BC-8137-941ED135E414}">
      <formula1>"Yes,No"</formula1>
    </dataValidation>
    <dataValidation type="list" allowBlank="1" showErrorMessage="1" promptTitle="Input Parameters" prompt="Is there a diesel filter? Select or enter yes or no." sqref="B23" xr:uid="{7B64E98D-4050-43D6-BF61-2CF905C5584E}">
      <formula1>"Yes,No"</formula1>
    </dataValidation>
    <dataValidation type="decimal" operator="lessThanOrEqual" allowBlank="1" showErrorMessage="1" promptTitle="Input Parameters" prompt="Enter the sulfur content of the diesel." sqref="B20" xr:uid="{E73AA5A9-1EC6-46A5-9B96-FCCFB15C3297}">
      <formula1>15</formula1>
    </dataValidation>
    <dataValidation type="decimal" operator="lessThanOrEqual" allowBlank="1" showErrorMessage="1" promptTitle="Input Parameters" prompt="Enter the ammonia concentration in ppm." sqref="B24" xr:uid="{8F9A95A1-6F9E-4CFD-A01D-5D8AE01927E5}">
      <formula1>10</formula1>
    </dataValidation>
    <dataValidation type="decimal" operator="greaterThanOrEqual" allowBlank="1" showErrorMessage="1" errorTitle="Parameter Below Minimum Value" error="Please enter a value for this parameter that is larger than the minimum value." promptTitle="Input Parameters" prompt="Enter the release height of this EPN. This must be at least 25 feet." sqref="B14" xr:uid="{1969C2C4-001D-4105-A1C8-A137586624C9}">
      <formula1>C14</formula1>
    </dataValidation>
    <dataValidation type="decimal" operator="greaterThanOrEqual" allowBlank="1" showErrorMessage="1" errorTitle="Parameter Below Minimum Value" error="Please enter a value for this parameter that is larger than the minimum value." promptTitle="Imput Parameters" prompt="Enter the stack diameter. With this permit, the stack must be at least 0.66 feet wide." sqref="B15" xr:uid="{6292FB98-2642-4DD5-8374-D98BAD05D777}">
      <formula1>C15</formula1>
    </dataValidation>
    <dataValidation type="decimal" operator="greaterThanOrEqual" allowBlank="1" showErrorMessage="1" errorTitle="Parameter Below Minimum Value" error="Please enter a value for this parameter that is larger than the minimum value." promptTitle="Input Parameters" prompt="Enter the Temperature in degrees Fahrenheit for this EPN. Note that this must be at least 828 degrees." sqref="B16" xr:uid="{E417B4C4-7ABB-4A09-A511-1FED1A78AF9F}">
      <formula1>C16</formula1>
    </dataValidation>
    <dataValidation type="decimal" operator="greaterThanOrEqual" allowBlank="1" showErrorMessage="1" errorTitle="Parameter Below Minimum Value" error="Please enter a value for this parameter that is larger than the minimum value." promptTitle="Input Parameters" prompt="Enter the velocity of the emisions, in feet per second. Note that this value must be greater than 168.7 feet per second." sqref="B17" xr:uid="{308E0DCE-088F-49DF-BC78-BBE9B6355226}">
      <formula1>C17</formula1>
    </dataValidation>
    <dataValidation type="decimal" operator="lessThanOrEqual" allowBlank="1" showErrorMessage="1" errorTitle="Maximum Value Exceeded" error="Please enter a value for this parameter below the maximum value." promptTitle="Input Parameters" prompt="Enter the annual operating schedule in total hours per year. Note that this value must be below 300 hours per year." sqref="B25 B39" xr:uid="{E46E741B-11CA-4260-883A-9060CC5788BB}">
      <formula1>D25</formula1>
    </dataValidation>
    <dataValidation operator="lessThanOrEqual" allowBlank="1" showErrorMessage="1" promptTitle="Emission Factor" prompt="Enter the emission factor for particulate matter (PM), in grams per horsepower-hour. The pounds per hour (lb/hr) and tons per year (tpy) will automatically calculate in cells to the right." sqref="B32" xr:uid="{FA8A16F8-A198-4250-B6B2-6BB4B5A57B87}"/>
    <dataValidation allowBlank="1" showErrorMessage="1" promptTitle="Source Name" prompt="Enter the Source Name for the engine." sqref="B7" xr:uid="{BB1FC570-A25A-4672-BE83-7C472122D440}"/>
    <dataValidation type="textLength" allowBlank="1" showErrorMessage="1" promptTitle="FIN" prompt="Input the Facility Identification Number for the engine.  Limited to 10 alphanumeric characters." sqref="B6" xr:uid="{79AF306F-30C9-4078-9960-5692CFBBC9CB}">
      <formula1>0</formula1>
      <formula2>10</formula2>
    </dataValidation>
    <dataValidation allowBlank="1" showErrorMessage="1" prompt="select source of emission factor" sqref="D36:D38" xr:uid="{28EB35FF-0D8E-4054-814A-3A2AD2076749}"/>
    <dataValidation type="decimal" operator="lessThanOrEqual" allowBlank="1" showErrorMessage="1" promptTitle="Emission Factor" prompt="Enter the emission factor for NOx, in grams per horsepower-hour. The pounds per hour (lb/hr) and tons per year (tpy) will automatically calculate in cells to the right." sqref="B30" xr:uid="{2E77976F-0CEA-4CBF-8F08-9AFBB7E752B7}">
      <formula1>C43*453.6/$B$18</formula1>
    </dataValidation>
    <dataValidation type="decimal" operator="lessThanOrEqual" allowBlank="1" showErrorMessage="1" promptTitle="Emission Factor" prompt="Enter the emission factor for carbon monoxide, in grams per horsepower-hour. The pounds per hour (lb/hr) and tons per year (tpy) will automatically calculate in cells to the right." sqref="B31" xr:uid="{BEEBD4AA-42B9-4CAB-9F00-CA837EB85605}">
      <formula1>C44*453.6/$B$18</formula1>
    </dataValidation>
    <dataValidation operator="lessThanOrEqual" allowBlank="1" showErrorMessage="1" promptTitle="Emission Factor" prompt="Enter the emission factor for particulate matter with diameters 10 microns or less (PM10), in grams per horsepower-hour. The pounds per hour (lb/hr) and tons per year (tpy) will automatically calculate in cells to the right." sqref="B33" xr:uid="{D4DBD29C-0064-43FC-AC6E-D95B5A7FA966}"/>
    <dataValidation operator="lessThanOrEqual" allowBlank="1" showErrorMessage="1" promptTitle="Emission Factor" prompt="Enter the emission factor for particulate matter with diameters 2.5 microns or less (PM2.5), in grams per horsepower-hour. The pounds per hour (lb/hr) and tons per year (tpy) will automatically calculate in cells to the right." sqref="B34" xr:uid="{58961F16-77AC-47A0-838F-44D2B1F50310}"/>
    <dataValidation type="list" allowBlank="1" showErrorMessage="1" promptTitle="Source of Emission Factor" prompt="Select the source of the emission factor." sqref="D30:D35" xr:uid="{6EE1B6D2-6E16-4486-9CAF-179C3BC02AB9}">
      <formula1>EngDDSource</formula1>
    </dataValidation>
    <dataValidation allowBlank="1" showErrorMessage="1" prompt="This cell intentionally left blank for internal comments. All internal comments must be submitted prior to application submittal." sqref="G3:G66 F41" xr:uid="{DFBB8380-177C-4FF1-B708-A34E5C9CE3D0}"/>
  </dataValidations>
  <printOptions horizontalCentered="1"/>
  <pageMargins left="0.25" right="0.25" top="0.57395833333333302" bottom="0.61354166666666698" header="0.3" footer="0.3"/>
  <pageSetup scale="73" orientation="portrait" r:id="rId1"/>
  <headerFooter>
    <oddHeader>&amp;C&amp;"Arial,Regular"Engine Power Generation RAP Application</oddHeader>
    <oddFooter>&amp;L&amp;"Arial,Regular"Version: 1.0&amp;C&amp;"Arial,Regular"Sheet: &amp;A&amp;R&amp;"Arial,Regular"Page &amp;P</oddFooter>
  </headerFooter>
  <rowBreaks count="1" manualBreakCount="1">
    <brk id="53" max="16383" man="1"/>
  </rowBreaks>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033D8-0713-488A-B5FF-4B76AB811280}">
  <sheetPr codeName="Sheet7">
    <tabColor rgb="FFFFFFCC"/>
  </sheetPr>
  <dimension ref="A1:N84"/>
  <sheetViews>
    <sheetView showGridLines="0" zoomScaleNormal="100" workbookViewId="0">
      <selection sqref="A1:F1"/>
    </sheetView>
  </sheetViews>
  <sheetFormatPr defaultColWidth="0" defaultRowHeight="14.25" zeroHeight="1" x14ac:dyDescent="0.2"/>
  <cols>
    <col min="1" max="1" width="34.125" style="2" customWidth="1"/>
    <col min="2" max="3" width="14.375" style="2" customWidth="1"/>
    <col min="4" max="4" width="16.375" style="2" customWidth="1"/>
    <col min="5" max="5" width="18.5" style="2" customWidth="1"/>
    <col min="6" max="6" width="27.125" style="2" customWidth="1"/>
    <col min="7" max="7" width="40.625" style="2" customWidth="1"/>
    <col min="8" max="8" width="2.625" style="2" customWidth="1"/>
    <col min="9" max="16384" width="9" style="2" hidden="1"/>
  </cols>
  <sheetData>
    <row r="1" spans="1:13" ht="18.75" thickBot="1" x14ac:dyDescent="0.25">
      <c r="A1" s="861" t="s">
        <v>274</v>
      </c>
      <c r="B1" s="862"/>
      <c r="C1" s="862"/>
      <c r="D1" s="862"/>
      <c r="E1" s="862"/>
      <c r="F1" s="863"/>
      <c r="G1" s="133" t="s">
        <v>60</v>
      </c>
      <c r="H1" s="387"/>
      <c r="I1" s="387" t="b">
        <f>'PI-1-PowerEngine'!$B$78&lt;2</f>
        <v>1</v>
      </c>
      <c r="J1" s="387"/>
      <c r="K1" s="387"/>
      <c r="L1" s="387"/>
      <c r="M1" s="387"/>
    </row>
    <row r="2" spans="1:13" ht="61.5" customHeight="1" thickBot="1" x14ac:dyDescent="0.25">
      <c r="A2" s="880" t="s">
        <v>215</v>
      </c>
      <c r="B2" s="853"/>
      <c r="C2" s="853"/>
      <c r="D2" s="853"/>
      <c r="E2" s="853"/>
      <c r="F2" s="284"/>
      <c r="G2" s="64" t="s">
        <v>63</v>
      </c>
      <c r="H2" s="387"/>
      <c r="I2" s="387"/>
      <c r="J2" s="387"/>
      <c r="K2" s="387"/>
      <c r="L2" s="387"/>
      <c r="M2" s="387"/>
    </row>
    <row r="3" spans="1:13" ht="15" customHeight="1" thickBot="1" x14ac:dyDescent="0.25">
      <c r="A3" s="314" t="s">
        <v>4</v>
      </c>
      <c r="B3" s="97"/>
      <c r="C3" s="97"/>
      <c r="D3" s="97"/>
      <c r="E3" s="97"/>
      <c r="F3" s="97"/>
      <c r="G3" s="138"/>
      <c r="H3" s="387"/>
      <c r="I3" s="387"/>
      <c r="J3" s="387"/>
      <c r="K3" s="387"/>
      <c r="L3" s="387"/>
      <c r="M3" s="387"/>
    </row>
    <row r="4" spans="1:13" ht="17.100000000000001" customHeight="1" thickBot="1" x14ac:dyDescent="0.25">
      <c r="A4" s="171" t="s">
        <v>167</v>
      </c>
      <c r="B4" s="172"/>
      <c r="C4" s="172"/>
      <c r="D4" s="172"/>
      <c r="E4" s="172"/>
      <c r="F4" s="286"/>
      <c r="G4" s="139"/>
      <c r="H4" s="387"/>
      <c r="I4" s="387"/>
      <c r="J4" s="387"/>
      <c r="K4" s="387"/>
      <c r="L4" s="387"/>
      <c r="M4" s="387"/>
    </row>
    <row r="5" spans="1:13" ht="17.100000000000001" customHeight="1" x14ac:dyDescent="0.2">
      <c r="A5" s="295" t="s">
        <v>72</v>
      </c>
      <c r="B5" s="227" t="s">
        <v>73</v>
      </c>
      <c r="C5" s="228"/>
      <c r="D5" s="196"/>
      <c r="E5" s="196"/>
      <c r="F5" s="296"/>
      <c r="G5" s="139"/>
      <c r="H5" s="387"/>
      <c r="I5" s="387"/>
      <c r="J5" s="387"/>
      <c r="K5" s="387"/>
      <c r="L5" s="387"/>
      <c r="M5" s="387"/>
    </row>
    <row r="6" spans="1:13" ht="15" customHeight="1" x14ac:dyDescent="0.2">
      <c r="A6" s="388" t="s">
        <v>216</v>
      </c>
      <c r="B6" s="224"/>
      <c r="C6" s="229"/>
      <c r="D6" s="389"/>
      <c r="E6" s="389"/>
      <c r="F6" s="390"/>
      <c r="G6" s="139"/>
      <c r="H6" s="387"/>
      <c r="I6" s="387"/>
      <c r="J6" s="387"/>
      <c r="K6" s="387"/>
      <c r="L6" s="387"/>
      <c r="M6" s="387"/>
    </row>
    <row r="7" spans="1:13" ht="15" customHeight="1" x14ac:dyDescent="0.2">
      <c r="A7" s="257" t="s">
        <v>217</v>
      </c>
      <c r="B7" s="159"/>
      <c r="C7" s="389"/>
      <c r="D7" s="389"/>
      <c r="E7" s="389"/>
      <c r="F7" s="390"/>
      <c r="G7" s="139"/>
      <c r="H7" s="387"/>
      <c r="I7" s="387"/>
      <c r="J7" s="387"/>
      <c r="K7" s="387"/>
      <c r="L7" s="387"/>
      <c r="M7" s="387"/>
    </row>
    <row r="8" spans="1:13" ht="15" customHeight="1" x14ac:dyDescent="0.2">
      <c r="A8" s="369" t="s">
        <v>218</v>
      </c>
      <c r="B8" s="391"/>
      <c r="C8" s="389"/>
      <c r="D8" s="389"/>
      <c r="E8" s="389"/>
      <c r="F8" s="390"/>
      <c r="G8" s="139"/>
      <c r="H8" s="387"/>
      <c r="I8" s="387"/>
      <c r="J8" s="387"/>
      <c r="K8" s="387"/>
      <c r="L8" s="387"/>
      <c r="M8" s="387"/>
    </row>
    <row r="9" spans="1:13" ht="15" customHeight="1" x14ac:dyDescent="0.2">
      <c r="A9" s="369" t="s">
        <v>219</v>
      </c>
      <c r="B9" s="174"/>
      <c r="C9" s="389"/>
      <c r="D9" s="389"/>
      <c r="E9" s="389"/>
      <c r="F9" s="390"/>
      <c r="G9" s="139"/>
      <c r="H9" s="387"/>
      <c r="I9" s="387"/>
      <c r="J9" s="387"/>
      <c r="K9" s="387"/>
      <c r="L9" s="387"/>
      <c r="M9" s="387"/>
    </row>
    <row r="10" spans="1:13" ht="15" thickBot="1" x14ac:dyDescent="0.25">
      <c r="A10" s="258" t="s">
        <v>220</v>
      </c>
      <c r="B10" s="298"/>
      <c r="C10" s="199"/>
      <c r="D10" s="200"/>
      <c r="E10" s="200"/>
      <c r="F10" s="299"/>
      <c r="G10" s="139"/>
      <c r="H10" s="387"/>
      <c r="I10" s="387"/>
      <c r="J10" s="387"/>
      <c r="K10" s="387"/>
      <c r="L10" s="387"/>
      <c r="M10" s="387"/>
    </row>
    <row r="11" spans="1:13" ht="15" customHeight="1" thickBot="1" x14ac:dyDescent="0.25">
      <c r="A11" s="318" t="s">
        <v>4</v>
      </c>
      <c r="B11" s="319" t="s">
        <v>4</v>
      </c>
      <c r="C11" s="294"/>
      <c r="D11" s="85"/>
      <c r="E11" s="85"/>
      <c r="F11" s="85"/>
      <c r="G11" s="139"/>
      <c r="H11" s="387"/>
      <c r="I11" s="387"/>
      <c r="J11" s="387"/>
      <c r="K11" s="387"/>
      <c r="L11" s="387"/>
      <c r="M11" s="387"/>
    </row>
    <row r="12" spans="1:13" ht="17.100000000000001" customHeight="1" thickBot="1" x14ac:dyDescent="0.25">
      <c r="A12" s="162" t="s">
        <v>221</v>
      </c>
      <c r="B12" s="163"/>
      <c r="C12" s="163"/>
      <c r="D12" s="163"/>
      <c r="E12" s="172"/>
      <c r="F12" s="286"/>
      <c r="G12" s="139"/>
      <c r="H12" s="387"/>
      <c r="I12" s="387"/>
      <c r="J12" s="387"/>
      <c r="K12" s="387"/>
      <c r="L12" s="387"/>
      <c r="M12" s="387"/>
    </row>
    <row r="13" spans="1:13" ht="15" customHeight="1" x14ac:dyDescent="0.2">
      <c r="A13" s="301" t="s">
        <v>222</v>
      </c>
      <c r="B13" s="221" t="s">
        <v>223</v>
      </c>
      <c r="C13" s="221" t="s">
        <v>224</v>
      </c>
      <c r="D13" s="222" t="s">
        <v>225</v>
      </c>
      <c r="E13" s="209"/>
      <c r="F13" s="345"/>
      <c r="G13" s="139"/>
      <c r="H13" s="387"/>
      <c r="I13" s="387"/>
      <c r="J13" s="387"/>
      <c r="K13" s="387"/>
      <c r="L13" s="387"/>
      <c r="M13" s="387"/>
    </row>
    <row r="14" spans="1:13" ht="15" customHeight="1" x14ac:dyDescent="0.2">
      <c r="A14" s="369" t="s">
        <v>226</v>
      </c>
      <c r="B14" s="391"/>
      <c r="C14" s="392">
        <v>25</v>
      </c>
      <c r="D14" s="393" t="s">
        <v>855</v>
      </c>
      <c r="E14" s="394"/>
      <c r="F14" s="395"/>
      <c r="G14" s="139"/>
      <c r="H14" s="387"/>
      <c r="I14" s="387"/>
      <c r="J14" s="387"/>
      <c r="K14" s="387"/>
      <c r="L14" s="387"/>
      <c r="M14" s="387"/>
    </row>
    <row r="15" spans="1:13" ht="15" customHeight="1" x14ac:dyDescent="0.2">
      <c r="A15" s="369" t="s">
        <v>227</v>
      </c>
      <c r="B15" s="391"/>
      <c r="C15" s="392">
        <v>0.66</v>
      </c>
      <c r="D15" s="393" t="s">
        <v>855</v>
      </c>
      <c r="E15" s="394"/>
      <c r="F15" s="395"/>
      <c r="G15" s="139"/>
      <c r="H15" s="387"/>
      <c r="I15" s="387"/>
      <c r="J15" s="387"/>
      <c r="K15" s="387"/>
      <c r="L15" s="387"/>
      <c r="M15" s="387"/>
    </row>
    <row r="16" spans="1:13" ht="15" customHeight="1" x14ac:dyDescent="0.2">
      <c r="A16" s="369" t="s">
        <v>228</v>
      </c>
      <c r="B16" s="396"/>
      <c r="C16" s="392">
        <v>828</v>
      </c>
      <c r="D16" s="393" t="s">
        <v>855</v>
      </c>
      <c r="E16" s="394"/>
      <c r="F16" s="395"/>
      <c r="G16" s="139"/>
      <c r="H16" s="387"/>
      <c r="I16" s="387"/>
      <c r="J16" s="387"/>
      <c r="K16" s="387"/>
      <c r="L16" s="387"/>
      <c r="M16" s="387"/>
    </row>
    <row r="17" spans="1:14" ht="15" customHeight="1" x14ac:dyDescent="0.2">
      <c r="A17" s="369" t="s">
        <v>229</v>
      </c>
      <c r="B17" s="391"/>
      <c r="C17" s="392">
        <v>168.7</v>
      </c>
      <c r="D17" s="393" t="s">
        <v>855</v>
      </c>
      <c r="E17" s="394"/>
      <c r="F17" s="395"/>
      <c r="G17" s="139"/>
      <c r="H17" s="387"/>
      <c r="I17" s="387"/>
      <c r="J17" s="387"/>
      <c r="K17" s="387"/>
      <c r="L17" s="387"/>
      <c r="M17" s="387"/>
      <c r="N17" s="397"/>
    </row>
    <row r="18" spans="1:14" ht="15" customHeight="1" x14ac:dyDescent="0.2">
      <c r="A18" s="282" t="s">
        <v>230</v>
      </c>
      <c r="B18" s="396"/>
      <c r="C18" s="392" t="s">
        <v>855</v>
      </c>
      <c r="D18" s="393" t="s">
        <v>855</v>
      </c>
      <c r="E18" s="394"/>
      <c r="F18" s="395"/>
      <c r="G18" s="139"/>
      <c r="H18" s="387"/>
      <c r="I18" s="387"/>
      <c r="J18" s="387"/>
      <c r="K18" s="387"/>
      <c r="L18" s="387"/>
      <c r="M18" s="387"/>
      <c r="N18" s="387"/>
    </row>
    <row r="19" spans="1:14" ht="15" customHeight="1" x14ac:dyDescent="0.2">
      <c r="A19" s="369" t="s">
        <v>231</v>
      </c>
      <c r="B19" s="391"/>
      <c r="C19" s="392" t="s">
        <v>855</v>
      </c>
      <c r="D19" s="393" t="s">
        <v>855</v>
      </c>
      <c r="E19" s="394"/>
      <c r="F19" s="395"/>
      <c r="G19" s="139"/>
      <c r="H19" s="387"/>
      <c r="I19" s="387"/>
      <c r="J19" s="387"/>
      <c r="K19" s="387"/>
      <c r="L19" s="387"/>
      <c r="M19" s="387"/>
      <c r="N19" s="387"/>
    </row>
    <row r="20" spans="1:14" ht="15" customHeight="1" x14ac:dyDescent="0.2">
      <c r="A20" s="369" t="s">
        <v>232</v>
      </c>
      <c r="B20" s="159"/>
      <c r="C20" s="392" t="s">
        <v>855</v>
      </c>
      <c r="D20" s="393">
        <v>15</v>
      </c>
      <c r="E20" s="394"/>
      <c r="F20" s="395"/>
      <c r="G20" s="139"/>
      <c r="H20" s="387"/>
      <c r="I20" s="387"/>
      <c r="J20" s="387"/>
      <c r="K20" s="387"/>
      <c r="L20" s="387"/>
      <c r="M20" s="387"/>
      <c r="N20" s="387"/>
    </row>
    <row r="21" spans="1:14" ht="30" customHeight="1" x14ac:dyDescent="0.2">
      <c r="A21" s="398" t="s">
        <v>233</v>
      </c>
      <c r="B21" s="159"/>
      <c r="C21" s="392" t="s">
        <v>855</v>
      </c>
      <c r="D21" s="393" t="s">
        <v>855</v>
      </c>
      <c r="E21" s="394"/>
      <c r="F21" s="395"/>
      <c r="G21" s="139"/>
      <c r="H21" s="387"/>
      <c r="I21" s="387"/>
      <c r="J21" s="387"/>
      <c r="K21" s="387"/>
      <c r="L21" s="387"/>
      <c r="M21" s="387"/>
      <c r="N21" s="387"/>
    </row>
    <row r="22" spans="1:14" ht="15" customHeight="1" x14ac:dyDescent="0.2">
      <c r="A22" s="257" t="s">
        <v>234</v>
      </c>
      <c r="B22" s="159"/>
      <c r="C22" s="158" t="s">
        <v>855</v>
      </c>
      <c r="D22" s="393" t="s">
        <v>855</v>
      </c>
      <c r="E22" s="394"/>
      <c r="F22" s="395"/>
      <c r="G22" s="139"/>
      <c r="H22" s="387"/>
      <c r="I22" s="387"/>
      <c r="J22" s="387"/>
      <c r="K22" s="387"/>
      <c r="L22" s="387"/>
      <c r="M22" s="387"/>
      <c r="N22" s="387"/>
    </row>
    <row r="23" spans="1:14" ht="15" customHeight="1" x14ac:dyDescent="0.2">
      <c r="A23" s="257" t="s">
        <v>235</v>
      </c>
      <c r="B23" s="159"/>
      <c r="C23" s="158" t="s">
        <v>855</v>
      </c>
      <c r="D23" s="393" t="s">
        <v>855</v>
      </c>
      <c r="E23" s="394"/>
      <c r="F23" s="395"/>
      <c r="G23" s="139"/>
      <c r="H23" s="387"/>
      <c r="I23" s="387"/>
      <c r="J23" s="387"/>
      <c r="K23" s="387"/>
      <c r="L23" s="387"/>
      <c r="M23" s="387"/>
      <c r="N23" s="387"/>
    </row>
    <row r="24" spans="1:14" ht="15" customHeight="1" x14ac:dyDescent="0.2">
      <c r="A24" s="369" t="s">
        <v>236</v>
      </c>
      <c r="B24" s="159"/>
      <c r="C24" s="392" t="s">
        <v>855</v>
      </c>
      <c r="D24" s="393">
        <v>10</v>
      </c>
      <c r="E24" s="394"/>
      <c r="F24" s="395"/>
      <c r="G24" s="139"/>
      <c r="H24" s="387"/>
      <c r="I24" s="387" t="b">
        <f>$B$21="NO"</f>
        <v>0</v>
      </c>
      <c r="J24" s="387"/>
      <c r="K24" s="387"/>
      <c r="L24" s="387"/>
      <c r="M24" s="387"/>
      <c r="N24" s="387"/>
    </row>
    <row r="25" spans="1:14" ht="15" customHeight="1" x14ac:dyDescent="0.2">
      <c r="A25" s="369" t="s">
        <v>237</v>
      </c>
      <c r="B25" s="159"/>
      <c r="C25" s="392" t="s">
        <v>855</v>
      </c>
      <c r="D25" s="393">
        <v>300</v>
      </c>
      <c r="E25" s="394"/>
      <c r="F25" s="395"/>
      <c r="G25" s="139"/>
      <c r="H25" s="387"/>
      <c r="I25" s="387"/>
      <c r="J25" s="387"/>
      <c r="K25" s="387"/>
      <c r="L25" s="387"/>
      <c r="M25" s="387"/>
      <c r="N25" s="387"/>
    </row>
    <row r="26" spans="1:14" ht="15" customHeight="1" thickBot="1" x14ac:dyDescent="0.25">
      <c r="A26" s="283" t="s">
        <v>275</v>
      </c>
      <c r="B26" s="285">
        <f>B17*60*PI()/4*B15^2*(459.67+60)/(459.67+B16)</f>
        <v>0</v>
      </c>
      <c r="C26" s="399" t="s">
        <v>855</v>
      </c>
      <c r="D26" s="400" t="s">
        <v>855</v>
      </c>
      <c r="E26" s="401"/>
      <c r="F26" s="402"/>
      <c r="G26" s="139"/>
      <c r="H26" s="387"/>
      <c r="I26" s="387"/>
      <c r="J26" s="387"/>
      <c r="K26" s="387"/>
      <c r="L26" s="387"/>
      <c r="M26" s="387"/>
      <c r="N26" s="387"/>
    </row>
    <row r="27" spans="1:14" ht="15" customHeight="1" thickBot="1" x14ac:dyDescent="0.25">
      <c r="A27" s="403"/>
      <c r="B27" s="389"/>
      <c r="C27" s="389"/>
      <c r="D27" s="389"/>
      <c r="E27" s="387"/>
      <c r="F27" s="387"/>
      <c r="G27" s="139"/>
      <c r="H27" s="387"/>
      <c r="I27" s="387"/>
      <c r="J27" s="387"/>
      <c r="K27" s="387"/>
      <c r="L27" s="387"/>
      <c r="M27" s="387"/>
      <c r="N27" s="387"/>
    </row>
    <row r="28" spans="1:14" ht="15" customHeight="1" thickBot="1" x14ac:dyDescent="0.25">
      <c r="A28" s="160" t="s">
        <v>239</v>
      </c>
      <c r="B28" s="161"/>
      <c r="C28" s="161"/>
      <c r="D28" s="161"/>
      <c r="E28" s="161"/>
      <c r="F28" s="286"/>
      <c r="G28" s="139"/>
      <c r="H28" s="387"/>
      <c r="I28" s="387"/>
      <c r="J28" s="387"/>
      <c r="K28" s="387"/>
      <c r="L28" s="387"/>
      <c r="M28" s="387"/>
      <c r="N28" s="387"/>
    </row>
    <row r="29" spans="1:14" ht="15" x14ac:dyDescent="0.2">
      <c r="A29" s="225" t="s">
        <v>240</v>
      </c>
      <c r="B29" s="63" t="s">
        <v>241</v>
      </c>
      <c r="C29" s="221" t="s">
        <v>242</v>
      </c>
      <c r="D29" s="357" t="s">
        <v>243</v>
      </c>
      <c r="E29" s="882" t="s">
        <v>244</v>
      </c>
      <c r="F29" s="867"/>
      <c r="G29" s="139"/>
      <c r="H29" s="387"/>
      <c r="I29" s="387"/>
      <c r="J29" s="387"/>
      <c r="K29" s="387"/>
      <c r="L29" s="387"/>
      <c r="M29" s="387"/>
      <c r="N29" s="387"/>
    </row>
    <row r="30" spans="1:14" x14ac:dyDescent="0.2">
      <c r="A30" s="334" t="s">
        <v>245</v>
      </c>
      <c r="B30" s="404"/>
      <c r="C30" s="392" t="s">
        <v>246</v>
      </c>
      <c r="D30" s="355"/>
      <c r="E30" s="881" t="str">
        <f>IFERROR(INDEX(Reference!$AQ$14:$AQ$17,MATCH(D30,EngDDSource,0)),"")</f>
        <v/>
      </c>
      <c r="F30" s="865"/>
      <c r="G30" s="139"/>
      <c r="H30" s="387"/>
      <c r="I30" s="387"/>
      <c r="J30" s="387"/>
      <c r="K30" s="387"/>
      <c r="L30" s="387"/>
      <c r="M30" s="387"/>
      <c r="N30" s="387"/>
    </row>
    <row r="31" spans="1:14" x14ac:dyDescent="0.2">
      <c r="A31" s="334" t="s">
        <v>247</v>
      </c>
      <c r="B31" s="404"/>
      <c r="C31" s="392" t="s">
        <v>246</v>
      </c>
      <c r="D31" s="355"/>
      <c r="E31" s="881" t="str">
        <f>IFERROR(INDEX(Reference!$AQ$14:$AQ$17,MATCH(D31,EngDDSource,0)),"")</f>
        <v/>
      </c>
      <c r="F31" s="865"/>
      <c r="G31" s="139"/>
      <c r="H31" s="387"/>
      <c r="I31" s="387"/>
      <c r="J31" s="387"/>
      <c r="K31" s="387"/>
      <c r="L31" s="387"/>
      <c r="M31" s="387"/>
      <c r="N31" s="387"/>
    </row>
    <row r="32" spans="1:14" x14ac:dyDescent="0.2">
      <c r="A32" s="334" t="s">
        <v>248</v>
      </c>
      <c r="B32" s="153"/>
      <c r="C32" s="392" t="s">
        <v>246</v>
      </c>
      <c r="D32" s="355"/>
      <c r="E32" s="881" t="str">
        <f>IFERROR(INDEX(Reference!$AQ$14:$AQ$17,MATCH(D32,EngDDSource,0)),"")</f>
        <v/>
      </c>
      <c r="F32" s="865"/>
      <c r="G32" s="139"/>
      <c r="H32" s="387"/>
      <c r="I32" s="387"/>
      <c r="J32" s="387"/>
      <c r="K32" s="387"/>
      <c r="L32" s="387"/>
      <c r="M32" s="387"/>
      <c r="N32" s="387"/>
    </row>
    <row r="33" spans="1:13" x14ac:dyDescent="0.2">
      <c r="A33" s="334" t="s">
        <v>249</v>
      </c>
      <c r="B33" s="153"/>
      <c r="C33" s="392" t="s">
        <v>246</v>
      </c>
      <c r="D33" s="355"/>
      <c r="E33" s="881" t="str">
        <f>IFERROR(INDEX(Reference!$AQ$14:$AQ$17,MATCH(D33,EngDDSource,0)),"")</f>
        <v/>
      </c>
      <c r="F33" s="865"/>
      <c r="G33" s="139"/>
      <c r="H33" s="387"/>
      <c r="I33" s="387"/>
      <c r="J33" s="387"/>
      <c r="K33" s="387"/>
      <c r="L33" s="387"/>
      <c r="M33" s="387"/>
    </row>
    <row r="34" spans="1:13" x14ac:dyDescent="0.2">
      <c r="A34" s="334" t="s">
        <v>250</v>
      </c>
      <c r="B34" s="153"/>
      <c r="C34" s="392" t="s">
        <v>246</v>
      </c>
      <c r="D34" s="355"/>
      <c r="E34" s="881" t="str">
        <f>IFERROR(INDEX(Reference!$AQ$14:$AQ$17,MATCH(D34,EngDDSource,0)),"")</f>
        <v/>
      </c>
      <c r="F34" s="865"/>
      <c r="G34" s="139"/>
      <c r="H34" s="387"/>
      <c r="I34" s="387"/>
      <c r="J34" s="387"/>
      <c r="K34" s="387"/>
      <c r="L34" s="387"/>
      <c r="M34" s="387"/>
    </row>
    <row r="35" spans="1:13" x14ac:dyDescent="0.2">
      <c r="A35" s="334" t="s">
        <v>251</v>
      </c>
      <c r="B35" s="404"/>
      <c r="C35" s="392" t="s">
        <v>246</v>
      </c>
      <c r="D35" s="355"/>
      <c r="E35" s="881" t="str">
        <f>IFERROR(INDEX(Reference!$AQ$14:$AQ$17,MATCH(D35,EngDDSource,0)),"")</f>
        <v/>
      </c>
      <c r="F35" s="865"/>
      <c r="G35" s="139"/>
      <c r="H35" s="387"/>
      <c r="I35" s="387"/>
      <c r="J35" s="387"/>
      <c r="K35" s="387"/>
      <c r="L35" s="387"/>
      <c r="M35" s="387"/>
    </row>
    <row r="36" spans="1:13" ht="33.75" customHeight="1" x14ac:dyDescent="0.2">
      <c r="A36" s="334" t="s">
        <v>252</v>
      </c>
      <c r="B36" s="155" t="s">
        <v>855</v>
      </c>
      <c r="C36" s="392" t="s">
        <v>855</v>
      </c>
      <c r="D36" s="356" t="s">
        <v>253</v>
      </c>
      <c r="E36" s="881" t="s">
        <v>254</v>
      </c>
      <c r="F36" s="865"/>
      <c r="G36" s="139"/>
      <c r="H36" s="387"/>
      <c r="I36" s="387"/>
      <c r="J36" s="387"/>
      <c r="K36" s="387"/>
      <c r="L36" s="387"/>
      <c r="M36" s="387"/>
    </row>
    <row r="37" spans="1:13" ht="33.75" customHeight="1" x14ac:dyDescent="0.2">
      <c r="A37" s="334" t="s">
        <v>255</v>
      </c>
      <c r="B37" s="155" t="s">
        <v>855</v>
      </c>
      <c r="C37" s="392" t="s">
        <v>855</v>
      </c>
      <c r="D37" s="356" t="s">
        <v>253</v>
      </c>
      <c r="E37" s="881" t="s">
        <v>256</v>
      </c>
      <c r="F37" s="865"/>
      <c r="G37" s="139"/>
      <c r="H37" s="387"/>
      <c r="I37" s="387"/>
      <c r="J37" s="387"/>
      <c r="K37" s="387"/>
      <c r="L37" s="387"/>
      <c r="M37" s="387"/>
    </row>
    <row r="38" spans="1:13" ht="33.75" customHeight="1" thickBot="1" x14ac:dyDescent="0.25">
      <c r="A38" s="337" t="s">
        <v>257</v>
      </c>
      <c r="B38" s="341" t="s">
        <v>855</v>
      </c>
      <c r="C38" s="341" t="s">
        <v>855</v>
      </c>
      <c r="D38" s="358" t="s">
        <v>253</v>
      </c>
      <c r="E38" s="876" t="s">
        <v>258</v>
      </c>
      <c r="F38" s="877"/>
      <c r="G38" s="139"/>
      <c r="H38" s="387"/>
      <c r="I38" s="387" t="b">
        <f>$I$24</f>
        <v>0</v>
      </c>
      <c r="J38" s="387"/>
      <c r="K38" s="387"/>
      <c r="L38" s="387"/>
      <c r="M38" s="387"/>
    </row>
    <row r="39" spans="1:13" ht="15" customHeight="1" thickBot="1" x14ac:dyDescent="0.25">
      <c r="A39" s="403"/>
      <c r="B39" s="389"/>
      <c r="C39" s="389"/>
      <c r="D39" s="389"/>
      <c r="E39" s="387"/>
      <c r="F39" s="387"/>
      <c r="G39" s="139"/>
      <c r="H39" s="387"/>
      <c r="I39" s="387"/>
      <c r="J39" s="387"/>
      <c r="K39" s="387"/>
      <c r="L39" s="387"/>
      <c r="M39" s="387"/>
    </row>
    <row r="40" spans="1:13" ht="17.100000000000001" customHeight="1" thickBot="1" x14ac:dyDescent="0.25">
      <c r="A40" s="160" t="s">
        <v>259</v>
      </c>
      <c r="B40" s="161"/>
      <c r="C40" s="161"/>
      <c r="D40" s="161"/>
      <c r="E40" s="161"/>
      <c r="F40" s="286"/>
      <c r="G40" s="139"/>
      <c r="H40" s="387"/>
      <c r="I40" s="387"/>
      <c r="J40" s="387"/>
      <c r="K40" s="387"/>
      <c r="L40" s="387"/>
      <c r="M40" s="387"/>
    </row>
    <row r="41" spans="1:13" ht="46.5" customHeight="1" x14ac:dyDescent="0.2">
      <c r="A41" s="733" t="s">
        <v>260</v>
      </c>
      <c r="B41" s="842"/>
      <c r="C41" s="842"/>
      <c r="D41" s="842"/>
      <c r="E41" s="842"/>
      <c r="F41" s="868"/>
      <c r="G41" s="139"/>
      <c r="H41" s="387"/>
      <c r="I41" s="387"/>
      <c r="J41" s="387"/>
      <c r="K41" s="387"/>
      <c r="L41" s="387"/>
      <c r="M41" s="387"/>
    </row>
    <row r="42" spans="1:13" ht="49.5" customHeight="1" x14ac:dyDescent="0.2">
      <c r="A42" s="225" t="s">
        <v>240</v>
      </c>
      <c r="B42" s="221" t="s">
        <v>261</v>
      </c>
      <c r="C42" s="221" t="s">
        <v>262</v>
      </c>
      <c r="D42" s="221" t="s">
        <v>263</v>
      </c>
      <c r="E42" s="222" t="s">
        <v>264</v>
      </c>
      <c r="F42" s="343"/>
      <c r="G42" s="139"/>
      <c r="H42" s="387"/>
      <c r="I42" s="387"/>
      <c r="J42" s="387"/>
      <c r="K42" s="387"/>
      <c r="L42" s="387"/>
      <c r="M42" s="387"/>
    </row>
    <row r="43" spans="1:13" ht="15" customHeight="1" x14ac:dyDescent="0.2">
      <c r="A43" s="405" t="s">
        <v>245</v>
      </c>
      <c r="B43" s="406">
        <f t="shared" ref="B43:B48" si="0">$B$18*B30/453.6</f>
        <v>0</v>
      </c>
      <c r="C43" s="407">
        <v>1.85</v>
      </c>
      <c r="D43" s="406">
        <f t="shared" ref="D43:D51" si="1">B43*$B$25/2000</f>
        <v>0</v>
      </c>
      <c r="E43" s="393">
        <v>0.27750000000000002</v>
      </c>
      <c r="F43" s="390"/>
      <c r="G43" s="139"/>
      <c r="H43" s="387"/>
      <c r="I43" s="387"/>
      <c r="J43" s="387" t="b">
        <f>$B43&gt;$C43</f>
        <v>0</v>
      </c>
      <c r="K43" s="387"/>
      <c r="L43" s="387" t="b">
        <f>$D43&gt;$E43</f>
        <v>0</v>
      </c>
      <c r="M43" s="387"/>
    </row>
    <row r="44" spans="1:13" ht="15" customHeight="1" x14ac:dyDescent="0.2">
      <c r="A44" s="405" t="s">
        <v>247</v>
      </c>
      <c r="B44" s="406">
        <f t="shared" si="0"/>
        <v>0</v>
      </c>
      <c r="C44" s="407">
        <v>5.43</v>
      </c>
      <c r="D44" s="406">
        <f t="shared" si="1"/>
        <v>0</v>
      </c>
      <c r="E44" s="393" t="s">
        <v>855</v>
      </c>
      <c r="F44" s="390"/>
      <c r="G44" s="139"/>
      <c r="H44" s="387"/>
      <c r="I44" s="387"/>
      <c r="J44" s="387" t="b">
        <f t="shared" ref="J44:J51" si="2">$B44&gt;$C44</f>
        <v>0</v>
      </c>
      <c r="K44" s="387"/>
      <c r="L44" s="387"/>
      <c r="M44" s="387"/>
    </row>
    <row r="45" spans="1:13" ht="15" customHeight="1" x14ac:dyDescent="0.2">
      <c r="A45" s="405" t="s">
        <v>248</v>
      </c>
      <c r="B45" s="406">
        <f t="shared" si="0"/>
        <v>0</v>
      </c>
      <c r="C45" s="392" t="s">
        <v>855</v>
      </c>
      <c r="D45" s="406">
        <f t="shared" si="1"/>
        <v>0</v>
      </c>
      <c r="E45" s="393" t="s">
        <v>855</v>
      </c>
      <c r="F45" s="390"/>
      <c r="G45" s="139"/>
      <c r="H45" s="387"/>
      <c r="I45" s="387"/>
      <c r="J45" s="387"/>
      <c r="K45" s="387"/>
      <c r="L45" s="387"/>
      <c r="M45" s="387"/>
    </row>
    <row r="46" spans="1:13" ht="15" customHeight="1" x14ac:dyDescent="0.2">
      <c r="A46" s="405" t="s">
        <v>249</v>
      </c>
      <c r="B46" s="406">
        <f t="shared" si="0"/>
        <v>0</v>
      </c>
      <c r="C46" s="408">
        <v>2.1999999999999999E-2</v>
      </c>
      <c r="D46" s="406">
        <f t="shared" si="1"/>
        <v>0</v>
      </c>
      <c r="E46" s="393" t="s">
        <v>855</v>
      </c>
      <c r="F46" s="390"/>
      <c r="G46" s="139"/>
      <c r="H46" s="387"/>
      <c r="I46" s="387"/>
      <c r="J46" s="387" t="b">
        <f t="shared" si="2"/>
        <v>0</v>
      </c>
      <c r="K46" s="387"/>
      <c r="L46" s="387"/>
      <c r="M46" s="387"/>
    </row>
    <row r="47" spans="1:13" ht="15" customHeight="1" x14ac:dyDescent="0.2">
      <c r="A47" s="405" t="s">
        <v>250</v>
      </c>
      <c r="B47" s="406">
        <f t="shared" si="0"/>
        <v>0</v>
      </c>
      <c r="C47" s="408">
        <v>2.1999999999999999E-2</v>
      </c>
      <c r="D47" s="406">
        <f t="shared" si="1"/>
        <v>0</v>
      </c>
      <c r="E47" s="393">
        <v>3.3999999999999998E-3</v>
      </c>
      <c r="F47" s="390"/>
      <c r="G47" s="139"/>
      <c r="H47" s="387"/>
      <c r="I47" s="387"/>
      <c r="J47" s="387" t="b">
        <f t="shared" si="2"/>
        <v>0</v>
      </c>
      <c r="K47" s="387"/>
      <c r="L47" s="387" t="b">
        <f t="shared" ref="L47:L51" si="3">$D47&gt;$E47</f>
        <v>0</v>
      </c>
      <c r="M47" s="387"/>
    </row>
    <row r="48" spans="1:13" ht="15" customHeight="1" x14ac:dyDescent="0.2">
      <c r="A48" s="405" t="s">
        <v>251</v>
      </c>
      <c r="B48" s="406">
        <f t="shared" si="0"/>
        <v>0</v>
      </c>
      <c r="C48" s="392" t="s">
        <v>855</v>
      </c>
      <c r="D48" s="406">
        <f t="shared" si="1"/>
        <v>0</v>
      </c>
      <c r="E48" s="393" t="s">
        <v>855</v>
      </c>
      <c r="F48" s="390"/>
      <c r="G48" s="139"/>
      <c r="H48" s="387"/>
      <c r="I48" s="387"/>
      <c r="J48" s="387"/>
      <c r="K48" s="387"/>
      <c r="L48" s="387"/>
      <c r="M48" s="387"/>
    </row>
    <row r="49" spans="1:13" ht="15" customHeight="1" x14ac:dyDescent="0.2">
      <c r="A49" s="405" t="s">
        <v>252</v>
      </c>
      <c r="B49" s="406">
        <f>$B$19*7.05*$B$18*($B$20/1000000)*(64/32)</f>
        <v>0</v>
      </c>
      <c r="C49" s="408">
        <v>5.8999999999999997E-2</v>
      </c>
      <c r="D49" s="406">
        <f t="shared" si="1"/>
        <v>0</v>
      </c>
      <c r="E49" s="393">
        <v>8.8000000000000005E-3</v>
      </c>
      <c r="F49" s="390"/>
      <c r="G49" s="139"/>
      <c r="H49" s="387"/>
      <c r="I49" s="387"/>
      <c r="J49" s="387" t="b">
        <f t="shared" si="2"/>
        <v>0</v>
      </c>
      <c r="K49" s="387"/>
      <c r="L49" s="387" t="b">
        <f t="shared" si="3"/>
        <v>0</v>
      </c>
      <c r="M49" s="387"/>
    </row>
    <row r="50" spans="1:13" ht="15" customHeight="1" x14ac:dyDescent="0.2">
      <c r="A50" s="405" t="s">
        <v>255</v>
      </c>
      <c r="B50" s="406">
        <f>$B$49*(1/64.06)*(0.1/1)*98.07</f>
        <v>0</v>
      </c>
      <c r="C50" s="409">
        <v>5.7000000000000002E-3</v>
      </c>
      <c r="D50" s="406">
        <f t="shared" si="1"/>
        <v>0</v>
      </c>
      <c r="E50" s="393" t="s">
        <v>855</v>
      </c>
      <c r="F50" s="390"/>
      <c r="G50" s="139"/>
      <c r="H50" s="387"/>
      <c r="I50" s="387"/>
      <c r="J50" s="387" t="b">
        <f t="shared" si="2"/>
        <v>0</v>
      </c>
      <c r="K50" s="387"/>
      <c r="L50" s="387"/>
      <c r="M50" s="387"/>
    </row>
    <row r="51" spans="1:13" ht="15" customHeight="1" x14ac:dyDescent="0.2">
      <c r="A51" s="410" t="s">
        <v>257</v>
      </c>
      <c r="B51" s="619">
        <f>IF(B21="no",0,$B$24*(17/379)*$B$26*(60/1000000))</f>
        <v>0</v>
      </c>
      <c r="C51" s="226">
        <v>0.129</v>
      </c>
      <c r="D51" s="621">
        <f t="shared" si="1"/>
        <v>0</v>
      </c>
      <c r="E51" s="412">
        <v>1.9300000000000001E-2</v>
      </c>
      <c r="F51" s="390"/>
      <c r="G51" s="139"/>
      <c r="H51" s="387"/>
      <c r="I51" s="387" t="b">
        <f>$I$24</f>
        <v>0</v>
      </c>
      <c r="J51" s="387" t="b">
        <f t="shared" si="2"/>
        <v>0</v>
      </c>
      <c r="K51" s="387"/>
      <c r="L51" s="387" t="b">
        <f t="shared" si="3"/>
        <v>0</v>
      </c>
      <c r="M51" s="387"/>
    </row>
    <row r="52" spans="1:13" ht="90.75" customHeight="1" thickBot="1" x14ac:dyDescent="0.25">
      <c r="A52" s="878" t="s">
        <v>265</v>
      </c>
      <c r="B52" s="844"/>
      <c r="C52" s="844"/>
      <c r="D52" s="844"/>
      <c r="E52" s="844"/>
      <c r="F52" s="879"/>
      <c r="G52" s="139"/>
      <c r="H52" s="387"/>
      <c r="I52" s="387"/>
      <c r="J52" s="387"/>
      <c r="K52" s="387"/>
      <c r="L52" s="387"/>
      <c r="M52" s="387"/>
    </row>
    <row r="53" spans="1:13" ht="15" customHeight="1" thickBot="1" x14ac:dyDescent="0.25">
      <c r="A53" s="316"/>
      <c r="B53" s="154"/>
      <c r="C53" s="154"/>
      <c r="D53" s="154"/>
      <c r="E53" s="154"/>
      <c r="F53" s="154"/>
      <c r="G53" s="139"/>
      <c r="H53" s="387"/>
      <c r="I53" s="387"/>
      <c r="J53" s="387"/>
      <c r="K53" s="387"/>
      <c r="L53" s="387"/>
      <c r="M53" s="387"/>
    </row>
    <row r="54" spans="1:13" ht="17.100000000000001" customHeight="1" thickBot="1" x14ac:dyDescent="0.25">
      <c r="A54" s="194" t="s">
        <v>266</v>
      </c>
      <c r="B54" s="195"/>
      <c r="C54" s="195"/>
      <c r="D54" s="195"/>
      <c r="E54" s="195"/>
      <c r="F54" s="286"/>
      <c r="G54" s="139"/>
      <c r="H54" s="387"/>
      <c r="I54" s="387"/>
      <c r="J54" s="387"/>
      <c r="K54" s="387"/>
      <c r="L54" s="387"/>
      <c r="M54" s="387"/>
    </row>
    <row r="55" spans="1:13" ht="20.100000000000001" customHeight="1" thickBot="1" x14ac:dyDescent="0.25">
      <c r="A55" s="413" t="s">
        <v>267</v>
      </c>
      <c r="B55" s="414"/>
      <c r="C55" s="414"/>
      <c r="D55" s="414"/>
      <c r="E55" s="414"/>
      <c r="F55" s="415"/>
      <c r="G55" s="139"/>
      <c r="H55" s="387"/>
      <c r="I55" s="387"/>
      <c r="J55" s="387"/>
      <c r="K55" s="387"/>
      <c r="L55" s="387"/>
      <c r="M55" s="387"/>
    </row>
    <row r="56" spans="1:13" ht="20.100000000000001" customHeight="1" x14ac:dyDescent="0.2">
      <c r="A56" s="204" t="s">
        <v>268</v>
      </c>
      <c r="B56" s="201"/>
      <c r="C56" s="201"/>
      <c r="D56" s="201"/>
      <c r="E56" s="201"/>
      <c r="F56" s="352"/>
      <c r="G56" s="139"/>
      <c r="H56" s="387"/>
      <c r="I56" s="387"/>
      <c r="J56" s="387"/>
      <c r="K56" s="387"/>
      <c r="L56" s="387"/>
      <c r="M56" s="387"/>
    </row>
    <row r="57" spans="1:13" customFormat="1" ht="20.100000000000001" customHeight="1" x14ac:dyDescent="0.2">
      <c r="A57" s="90" t="str">
        <f>"("&amp;TEXT($B$18,"#,##0")&amp;" hp × "&amp;$B$30&amp;" g/hp-hr)"&amp;" ÷ 453.6 lb/g = "&amp;TEXT(($B$18*B30)/453.6,"#,##0.00##")&amp;" lb/hr"</f>
        <v>(0 hp ×  g/hp-hr) ÷ 453.6 lb/g = 0.00 lb/hr</v>
      </c>
      <c r="B57" s="91"/>
      <c r="C57" s="91"/>
      <c r="D57" s="91"/>
      <c r="E57" s="91"/>
      <c r="F57" s="91"/>
      <c r="G57" s="193"/>
    </row>
    <row r="58" spans="1:13" ht="20.100000000000001" customHeight="1" x14ac:dyDescent="0.2">
      <c r="A58" s="205" t="s">
        <v>269</v>
      </c>
      <c r="B58" s="206"/>
      <c r="C58" s="206"/>
      <c r="D58" s="206"/>
      <c r="E58" s="206"/>
      <c r="F58" s="354"/>
      <c r="G58" s="139"/>
      <c r="H58" s="387"/>
      <c r="I58" s="387"/>
      <c r="J58" s="387"/>
      <c r="K58" s="387"/>
      <c r="L58" s="387"/>
      <c r="M58" s="387"/>
    </row>
    <row r="59" spans="1:13" customFormat="1" ht="20.100000000000001" customHeight="1" x14ac:dyDescent="0.2">
      <c r="A59" s="869" t="str">
        <f>"("&amp;TEXT(B19,"#,##0")&amp;" gal diesel/hp-hr × 7.05 lb diesel/gal diesel × "&amp;TEXT($B$18,"#,##0")&amp;" hp)"&amp;" × ("&amp;$B$20&amp;" lb S ÷ 1,000,000 lb diesel)"&amp;" × (64 lb SO2 ÷ 32 lb S) = "&amp;TEXT($B$19*7.05*$B$18*($B$20/1000000)*(64/32),"#,##0.00##")&amp;" lb/hr"</f>
        <v>(0 gal diesel/hp-hr × 7.05 lb diesel/gal diesel × 0 hp) × ( lb S ÷ 1,000,000 lb diesel) × (64 lb SO2 ÷ 32 lb S) = 0.00 lb/hr</v>
      </c>
      <c r="B59" s="870"/>
      <c r="C59" s="870"/>
      <c r="D59" s="870"/>
      <c r="E59" s="870"/>
      <c r="F59" s="871"/>
      <c r="G59" s="193"/>
    </row>
    <row r="60" spans="1:13" ht="20.100000000000001" customHeight="1" x14ac:dyDescent="0.2">
      <c r="A60" s="353" t="s">
        <v>270</v>
      </c>
      <c r="B60" s="271"/>
      <c r="C60" s="271"/>
      <c r="D60" s="271"/>
      <c r="E60" s="271"/>
      <c r="F60" s="271"/>
      <c r="G60" s="139"/>
      <c r="H60" s="387"/>
      <c r="I60" s="387"/>
      <c r="J60" s="387"/>
      <c r="K60" s="387"/>
      <c r="L60" s="387"/>
      <c r="M60" s="387"/>
    </row>
    <row r="61" spans="1:13" customFormat="1" ht="30" customHeight="1" x14ac:dyDescent="0.2">
      <c r="A61" s="707" t="str">
        <f>"("&amp;TEXT($B$49,"#,##0.00")&amp;" lb/hr) × (1 lb mol SO2 ÷ 64.06 lb SO2) × (0.1 lb mol SO3 ÷ 1 lb mol SO2) × (1 lb mol H2SO4 ÷ 1 lb mol SO3) × (98.07 lb H2SO4 ÷ 1 lb mol H2SO4) "&amp;" = "&amp;TEXT($B$49*(1/64.06)*(0.1/1)*98.07,"#,##0.00##")&amp;" lb/hr"</f>
        <v>(0.00 lb/hr) × (1 lb mol SO2 ÷ 64.06 lb SO2) × (0.1 lb mol SO3 ÷ 1 lb mol SO2) × (1 lb mol H2SO4 ÷ 1 lb mol SO3) × (98.07 lb H2SO4 ÷ 1 lb mol H2SO4)  = 0.00 lb/hr</v>
      </c>
      <c r="B61" s="859"/>
      <c r="C61" s="859"/>
      <c r="D61" s="859"/>
      <c r="E61" s="859"/>
      <c r="F61" s="860"/>
      <c r="G61" s="193"/>
    </row>
    <row r="62" spans="1:13" ht="20.100000000000001" customHeight="1" x14ac:dyDescent="0.2">
      <c r="A62" s="90" t="s">
        <v>271</v>
      </c>
      <c r="B62" s="415"/>
      <c r="C62" s="415"/>
      <c r="D62" s="415"/>
      <c r="E62" s="415"/>
      <c r="F62" s="415"/>
      <c r="G62" s="139"/>
      <c r="H62" s="387"/>
      <c r="I62" s="387"/>
      <c r="J62" s="387"/>
      <c r="K62" s="387"/>
      <c r="L62" s="387"/>
      <c r="M62" s="387"/>
    </row>
    <row r="63" spans="1:13" ht="20.100000000000001" customHeight="1" x14ac:dyDescent="0.2">
      <c r="A63" s="205" t="s">
        <v>272</v>
      </c>
      <c r="B63" s="206"/>
      <c r="C63" s="206"/>
      <c r="D63" s="206"/>
      <c r="E63" s="206"/>
      <c r="F63" s="354"/>
      <c r="G63" s="139"/>
      <c r="H63" s="387"/>
      <c r="I63" s="387" t="b">
        <f>$I$24</f>
        <v>0</v>
      </c>
      <c r="J63" s="387"/>
      <c r="K63" s="387"/>
      <c r="L63" s="387"/>
      <c r="M63" s="387"/>
    </row>
    <row r="64" spans="1:13" customFormat="1" ht="20.100000000000001" customHeight="1" x14ac:dyDescent="0.2">
      <c r="A64" s="869" t="str">
        <f>"("&amp;TEXT($B$24,"#,##0.00")&amp;" ppm NH3 × 17 lb NH3/lb-mol × "&amp;TEXT($B$26,"#,##0.00")&amp;" scf/min × 60 min/hr) ÷ (379.00 dscf/lb-mol × 1000000) = "&amp;TEXT($B$24*(17/379)*$B$26*(60/1000000),"#,##0.00##")&amp;" lb/hr"</f>
        <v>(0.00 ppm NH3 × 17 lb NH3/lb-mol × 0.00 scf/min × 60 min/hr) ÷ (379.00 dscf/lb-mol × 1000000) = 0.00 lb/hr</v>
      </c>
      <c r="B64" s="870"/>
      <c r="C64" s="870"/>
      <c r="D64" s="870"/>
      <c r="E64" s="870"/>
      <c r="F64" s="871"/>
      <c r="G64" s="193"/>
      <c r="I64" t="b">
        <f>$I$24</f>
        <v>0</v>
      </c>
    </row>
    <row r="65" spans="1:13" ht="20.100000000000001" customHeight="1" x14ac:dyDescent="0.2">
      <c r="A65" s="353" t="s">
        <v>273</v>
      </c>
      <c r="B65" s="271"/>
      <c r="C65" s="271"/>
      <c r="D65" s="271"/>
      <c r="E65" s="271"/>
      <c r="F65" s="271"/>
      <c r="G65" s="139"/>
      <c r="H65" s="387"/>
      <c r="I65" s="387"/>
      <c r="J65" s="387"/>
      <c r="K65" s="387"/>
      <c r="L65" s="387"/>
      <c r="M65" s="387"/>
    </row>
    <row r="66" spans="1:13" customFormat="1" ht="20.100000000000001" customHeight="1" thickBot="1" x14ac:dyDescent="0.25">
      <c r="A66" s="207" t="str">
        <f>"("&amp;TEXT($B$43,"#,##0.00")&amp;" lb/hr × "&amp;$B$25&amp;" hr/yr)"&amp;" ÷  2000 lb/ton = "&amp;TEXT(($B$43*$B$25)/2000,"#,##0.00##")&amp;" tpy"</f>
        <v>(0.00 lb/hr ×  hr/yr) ÷  2000 lb/ton = 0.00 tpy</v>
      </c>
      <c r="B66" s="208"/>
      <c r="C66" s="208"/>
      <c r="D66" s="208"/>
      <c r="E66" s="208"/>
      <c r="F66" s="208"/>
      <c r="G66" s="143"/>
    </row>
    <row r="67" spans="1:13" ht="8.4499999999999993" customHeight="1" x14ac:dyDescent="0.2">
      <c r="A67" s="313"/>
      <c r="B67" s="164"/>
      <c r="C67" s="164"/>
      <c r="D67" s="164"/>
      <c r="E67" s="164"/>
      <c r="F67" s="164"/>
      <c r="G67" s="164"/>
      <c r="H67" s="387"/>
      <c r="I67" s="387"/>
      <c r="J67" s="387"/>
      <c r="K67" s="387"/>
      <c r="L67" s="387"/>
      <c r="M67" s="387"/>
    </row>
    <row r="68" spans="1:13" x14ac:dyDescent="0.2">
      <c r="A68" s="790" t="str">
        <f>HYPERLINK("#Sheet_Eng3","End of sheet. Click here to move to the next sheet.")</f>
        <v>End of sheet. Click here to move to the next sheet.</v>
      </c>
      <c r="B68" s="858"/>
      <c r="C68" s="858"/>
      <c r="D68" s="858"/>
      <c r="E68" s="858"/>
      <c r="F68" s="858"/>
      <c r="G68" s="147"/>
      <c r="H68" s="387"/>
      <c r="I68" s="387"/>
      <c r="J68" s="387"/>
      <c r="K68" s="387"/>
      <c r="L68" s="387"/>
      <c r="M68" s="387"/>
    </row>
    <row r="69" spans="1:13" ht="8.4499999999999993" hidden="1" customHeight="1" x14ac:dyDescent="0.2">
      <c r="A69" s="85"/>
      <c r="B69" s="85"/>
      <c r="C69" s="85"/>
      <c r="D69" s="85"/>
      <c r="E69" s="85"/>
      <c r="F69" s="85"/>
      <c r="G69" s="85"/>
      <c r="H69" s="387"/>
      <c r="I69" s="387"/>
      <c r="J69" s="387"/>
      <c r="K69" s="387"/>
      <c r="L69" s="387"/>
      <c r="M69" s="387"/>
    </row>
    <row r="70" spans="1:13" hidden="1" x14ac:dyDescent="0.2">
      <c r="A70" s="387"/>
      <c r="B70" s="387"/>
      <c r="C70" s="387"/>
      <c r="D70" s="387"/>
      <c r="E70" s="387"/>
      <c r="F70" s="387"/>
      <c r="G70" s="387"/>
      <c r="H70" s="387"/>
      <c r="I70" s="387"/>
      <c r="J70" s="387"/>
      <c r="K70" s="387"/>
      <c r="L70" s="387"/>
      <c r="M70" s="387"/>
    </row>
    <row r="71" spans="1:13" hidden="1" x14ac:dyDescent="0.2">
      <c r="A71" s="387"/>
      <c r="B71" s="387"/>
      <c r="C71" s="387"/>
      <c r="D71" s="387"/>
      <c r="E71" s="387"/>
      <c r="F71" s="387"/>
      <c r="G71" s="387"/>
      <c r="H71" s="387"/>
      <c r="I71" s="387"/>
      <c r="J71" s="387"/>
      <c r="K71" s="387"/>
      <c r="L71" s="387"/>
      <c r="M71" s="387"/>
    </row>
    <row r="72" spans="1:13" hidden="1" x14ac:dyDescent="0.2">
      <c r="A72" s="387"/>
      <c r="B72" s="387"/>
      <c r="C72" s="387"/>
      <c r="D72" s="387"/>
      <c r="E72" s="387"/>
      <c r="F72" s="387"/>
      <c r="G72" s="387"/>
      <c r="H72" s="387"/>
      <c r="I72" s="387"/>
      <c r="J72" s="387"/>
      <c r="K72" s="387"/>
      <c r="L72" s="387"/>
      <c r="M72" s="387"/>
    </row>
    <row r="73" spans="1:13" hidden="1" x14ac:dyDescent="0.2">
      <c r="A73" s="387"/>
      <c r="B73" s="387"/>
      <c r="C73" s="387"/>
      <c r="D73" s="387"/>
      <c r="E73" s="387"/>
      <c r="F73" s="387"/>
      <c r="G73" s="387"/>
      <c r="H73" s="387"/>
      <c r="I73" s="387"/>
      <c r="J73" s="387"/>
      <c r="K73" s="387"/>
      <c r="L73" s="387"/>
      <c r="M73" s="387"/>
    </row>
    <row r="74" spans="1:13" hidden="1" x14ac:dyDescent="0.2">
      <c r="A74" s="387"/>
      <c r="B74" s="387"/>
      <c r="C74" s="387"/>
      <c r="D74" s="387"/>
      <c r="E74" s="387"/>
      <c r="F74" s="387"/>
      <c r="G74" s="387"/>
      <c r="H74" s="387"/>
      <c r="I74" s="387"/>
      <c r="J74" s="387"/>
      <c r="K74" s="387"/>
      <c r="L74" s="387"/>
      <c r="M74" s="387"/>
    </row>
    <row r="75" spans="1:13" hidden="1" x14ac:dyDescent="0.2">
      <c r="A75" s="387"/>
      <c r="B75" s="387"/>
      <c r="C75" s="387"/>
      <c r="D75" s="387"/>
      <c r="E75" s="387"/>
      <c r="F75" s="387"/>
      <c r="G75" s="387"/>
      <c r="H75" s="387"/>
      <c r="I75" s="387"/>
      <c r="J75" s="387"/>
      <c r="K75" s="387"/>
      <c r="L75" s="387"/>
      <c r="M75" s="387"/>
    </row>
    <row r="76" spans="1:13" hidden="1" x14ac:dyDescent="0.2">
      <c r="A76" s="387"/>
      <c r="B76" s="387"/>
      <c r="C76" s="387"/>
      <c r="D76" s="387"/>
      <c r="E76" s="387"/>
      <c r="F76" s="387"/>
      <c r="G76" s="387"/>
      <c r="H76" s="387"/>
      <c r="I76" s="387"/>
      <c r="J76" s="387"/>
      <c r="K76" s="387"/>
      <c r="L76" s="387"/>
      <c r="M76" s="387"/>
    </row>
    <row r="77" spans="1:13" hidden="1" x14ac:dyDescent="0.2">
      <c r="A77" s="387"/>
      <c r="B77" s="387"/>
      <c r="C77" s="387"/>
      <c r="D77" s="387"/>
      <c r="E77" s="387"/>
      <c r="F77" s="387"/>
      <c r="G77" s="387"/>
      <c r="H77" s="387"/>
      <c r="I77" s="387"/>
      <c r="J77" s="387"/>
      <c r="K77" s="387"/>
      <c r="L77" s="387"/>
      <c r="M77" s="387"/>
    </row>
    <row r="78" spans="1:13" hidden="1" x14ac:dyDescent="0.2">
      <c r="A78" s="387"/>
      <c r="B78" s="387"/>
      <c r="C78" s="387"/>
      <c r="D78" s="387"/>
      <c r="E78" s="387"/>
      <c r="F78" s="387"/>
      <c r="G78" s="387"/>
      <c r="H78" s="387"/>
      <c r="I78" s="387"/>
      <c r="J78" s="387"/>
      <c r="K78" s="387"/>
      <c r="L78" s="387"/>
      <c r="M78" s="387"/>
    </row>
    <row r="79" spans="1:13" hidden="1" x14ac:dyDescent="0.2">
      <c r="A79" s="387"/>
      <c r="B79" s="387"/>
      <c r="C79" s="387"/>
      <c r="D79" s="387"/>
      <c r="E79" s="387"/>
      <c r="F79" s="387"/>
      <c r="G79" s="387"/>
      <c r="H79" s="387"/>
      <c r="I79" s="387"/>
      <c r="J79" s="387"/>
      <c r="K79" s="387"/>
      <c r="L79" s="387"/>
      <c r="M79" s="387"/>
    </row>
    <row r="80" spans="1:13" hidden="1" x14ac:dyDescent="0.2">
      <c r="A80" s="387"/>
      <c r="B80" s="387"/>
      <c r="C80" s="387"/>
      <c r="D80" s="387"/>
      <c r="E80" s="387"/>
      <c r="F80" s="387"/>
      <c r="G80" s="387"/>
      <c r="H80" s="387"/>
      <c r="I80" s="387"/>
      <c r="J80" s="387"/>
      <c r="K80" s="387"/>
      <c r="L80" s="387"/>
      <c r="M80" s="387"/>
    </row>
    <row r="81" spans="1:13" hidden="1" x14ac:dyDescent="0.2">
      <c r="A81" s="387"/>
      <c r="B81" s="387"/>
      <c r="C81" s="387"/>
      <c r="D81" s="387"/>
      <c r="E81" s="387"/>
      <c r="F81" s="387"/>
      <c r="G81" s="387"/>
      <c r="H81" s="387"/>
      <c r="I81" s="387"/>
      <c r="J81" s="387"/>
      <c r="K81" s="387"/>
      <c r="L81" s="387"/>
      <c r="M81" s="387"/>
    </row>
    <row r="82" spans="1:13" hidden="1" x14ac:dyDescent="0.2">
      <c r="A82" s="387"/>
      <c r="B82" s="387"/>
      <c r="C82" s="387"/>
      <c r="D82" s="387"/>
      <c r="E82" s="387"/>
      <c r="F82" s="387"/>
      <c r="G82" s="387"/>
      <c r="H82" s="387"/>
      <c r="I82" s="387"/>
      <c r="J82" s="387"/>
      <c r="K82" s="387"/>
      <c r="L82" s="387"/>
      <c r="M82" s="387"/>
    </row>
    <row r="83" spans="1:13" hidden="1" x14ac:dyDescent="0.2">
      <c r="A83" s="387"/>
      <c r="B83" s="387"/>
      <c r="C83" s="387"/>
      <c r="D83" s="387"/>
      <c r="E83" s="387"/>
      <c r="F83" s="387"/>
      <c r="G83" s="387"/>
      <c r="H83" s="387"/>
      <c r="I83" s="387"/>
      <c r="J83" s="387"/>
      <c r="K83" s="387"/>
      <c r="L83" s="387"/>
      <c r="M83" s="387"/>
    </row>
    <row r="84" spans="1:13" hidden="1" x14ac:dyDescent="0.2">
      <c r="A84" s="387"/>
      <c r="B84" s="387"/>
      <c r="C84" s="387"/>
      <c r="D84" s="387"/>
      <c r="E84" s="387"/>
      <c r="F84" s="387"/>
      <c r="G84" s="387"/>
      <c r="H84" s="387"/>
      <c r="I84" s="387"/>
      <c r="J84" s="387"/>
      <c r="K84" s="387"/>
      <c r="L84" s="387"/>
      <c r="M84" s="387"/>
    </row>
  </sheetData>
  <sheetProtection algorithmName="SHA-512" hashValue="zMPavxFbD1GcgQStRgp6c7lJRjW6wnaqUGrg0oNt2mVxkxCsgYcHzy40MTYU3FRFRc5PkC1sdWYxex8DwourHg==" saltValue="pKl8VBE40++0LrRZ9p+wOA==" spinCount="100000" sheet="1" objects="1" scenarios="1" formatColumns="0" formatRows="0" autoFilter="0"/>
  <mergeCells count="18">
    <mergeCell ref="A59:F59"/>
    <mergeCell ref="A61:F61"/>
    <mergeCell ref="A64:F64"/>
    <mergeCell ref="A52:F52"/>
    <mergeCell ref="A68:F68"/>
    <mergeCell ref="A41:F41"/>
    <mergeCell ref="A1:F1"/>
    <mergeCell ref="A2:E2"/>
    <mergeCell ref="E36:F36"/>
    <mergeCell ref="E37:F37"/>
    <mergeCell ref="E38:F38"/>
    <mergeCell ref="E35:F35"/>
    <mergeCell ref="E34:F34"/>
    <mergeCell ref="E33:F33"/>
    <mergeCell ref="E32:F32"/>
    <mergeCell ref="E31:F31"/>
    <mergeCell ref="E30:F30"/>
    <mergeCell ref="E29:F29"/>
  </mergeCells>
  <conditionalFormatting sqref="A24:D24 A38:F38 A51:E51 A63:F64">
    <cfRule type="expression" dxfId="77" priority="1">
      <formula>$I24</formula>
    </cfRule>
  </conditionalFormatting>
  <conditionalFormatting sqref="A1:G66">
    <cfRule type="expression" dxfId="76" priority="2">
      <formula>$I$1</formula>
    </cfRule>
  </conditionalFormatting>
  <conditionalFormatting sqref="B43:D51">
    <cfRule type="expression" dxfId="75" priority="5">
      <formula>J43</formula>
    </cfRule>
  </conditionalFormatting>
  <dataValidations count="27">
    <dataValidation type="decimal" operator="lessThanOrEqual" allowBlank="1" showErrorMessage="1" promptTitle="Emission Factor" prompt="Enter the emission factor for volatile organic compounds (VOC), in grams per horsepower-hour. The pounds per hour (lb/hr) and tons per year (tpy) will automatically calculate in cells to the right." sqref="B35" xr:uid="{DA6C6F50-F5EA-41E8-BA0A-CB54B9A20937}">
      <formula1>100</formula1>
    </dataValidation>
    <dataValidation type="list" allowBlank="1" showErrorMessage="1" promptTitle="UTM Zone" prompt="Enter the UTM Coordinates zone for the EPN &quot;Engine1&quot;. In Texas, this must be 13, 14, or 15." sqref="B8" xr:uid="{1299848C-7915-44DC-A2C2-4A4FA901FA77}">
      <formula1>"13,14,15"</formula1>
    </dataValidation>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9" xr:uid="{5D1BCF8F-7FA0-468C-8980-28E9D26A880D}">
      <formula1>205000</formula1>
      <formula2>795000</formula2>
    </dataValidation>
    <dataValidation type="decimal" allowBlank="1" showErrorMessage="1" errorTitle="North (Meters)" error="Enter a value between 2854000 and 4059000 meters." promptTitle="UTM North" prompt="Enter the distance north of the zone datum for this EPN, in meters. This is a six-digit number between 2854000 and 4059000." sqref="B10" xr:uid="{5EB61857-8908-44F3-BDFD-59EAE4C6F1B9}">
      <formula1>2854000</formula1>
      <formula2>4059000</formula2>
    </dataValidation>
    <dataValidation operator="greaterThanOrEqual" allowBlank="1" showErrorMessage="1" errorTitle="Maximum Value Exceeded" error="Please enter a value for this parameter below the maximum value." promptTitle="Input Parameters" prompt="Enter the rated brake horsepower (BHP) in horsepower (hp). Note that this value must be less than __." sqref="B18" xr:uid="{950B054D-DFED-4C48-BD2E-1265949F739D}"/>
    <dataValidation type="decimal" operator="lessThanOrEqual" allowBlank="1" showErrorMessage="1" promptTitle="Input Parameters" prompt="Enter the sulfur content of the diesel." sqref="B20" xr:uid="{2374F8D4-F746-4E56-B263-5285D9A8D2C9}">
      <formula1>15</formula1>
    </dataValidation>
    <dataValidation type="decimal" operator="greaterThanOrEqual" allowBlank="1" showErrorMessage="1" errorTitle="Parameter Below Minimum Value" error="Please enter a value for this parameter that is larger than the minimum value." promptTitle="Input Parameters" prompt="Enter the velocity of the emisions, in feet per second. Note that this value must be greater than 168.7 feet per second." sqref="B17" xr:uid="{8DA18C97-EB38-46FF-BDBB-098A2EF3259F}">
      <formula1>C17</formula1>
    </dataValidation>
    <dataValidation type="decimal" operator="greaterThanOrEqual" allowBlank="1" showErrorMessage="1" errorTitle="Parameter Below Minimum Value" error="Please enter a value for this parameter that is larger than the minimum value." promptTitle="Input Parameters" prompt="Enter the Temperature in degrees Fahrenheit for this EPN. Note that this must be at least 828 degrees." sqref="B16" xr:uid="{EC512017-027B-478F-B92A-302E058F46CF}">
      <formula1>C16</formula1>
    </dataValidation>
    <dataValidation type="decimal" operator="greaterThanOrEqual" allowBlank="1" showErrorMessage="1" errorTitle="Parameter Below Minimum Value" error="Please enter a value for this parameter that is larger than the minimum value." promptTitle="Imput Parameters" prompt="Enter the stack diameter. With this permit, the stack must be at least 0.66 feet wide." sqref="B15" xr:uid="{268E4F11-BC8E-4B04-8C5F-6B333B1ED623}">
      <formula1>C15</formula1>
    </dataValidation>
    <dataValidation type="decimal" operator="greaterThanOrEqual" allowBlank="1" showErrorMessage="1" errorTitle="Parameter Below Minimum Value" error="Please enter a value for this parameter that is larger than the minimum value." promptTitle="Input Parameters" prompt="Enter the release height of this EPN. This must be at least 25 feet." sqref="B14" xr:uid="{043D7C8A-1781-46F5-9CFC-26119B63765B}">
      <formula1>C14</formula1>
    </dataValidation>
    <dataValidation type="decimal" operator="lessThanOrEqual" allowBlank="1" showErrorMessage="1" errorTitle="Maximum Value Exceeded" error="Please enter a value for this parameter below the maximum value." promptTitle="Input Parameters" prompt="Enter the annual operating schedule in total hours per year. Note that this value must be below 300 hours per year." sqref="B25" xr:uid="{8235EE61-722B-40A5-9900-D39D6659FBCA}">
      <formula1>D25</formula1>
    </dataValidation>
    <dataValidation allowBlank="1" showErrorMessage="1" promptTitle="Source Name" prompt="Enter the Source Name for the engine." sqref="B7" xr:uid="{2609FC11-83D9-4619-8153-4A4829D0EBAE}"/>
    <dataValidation allowBlank="1" showErrorMessage="1" prompt="select source of emission factor" sqref="D36:D38" xr:uid="{E14B9C4A-E0BB-40E4-A4BD-10C04EBFB139}"/>
    <dataValidation type="decimal" operator="lessThanOrEqual" allowBlank="1" showErrorMessage="1" promptTitle="Emission Factor" prompt="Enter the emission factor for carbon monoxide, in grams per horsepower-hour. The pounds per hour (lb/hr) and tons per year (tpy) will automatically calculate in cells to the right." sqref="B31" xr:uid="{9C6199AF-E4D5-4EDE-9C44-C61B22542F0F}">
      <formula1>C44*453.6/$B$18</formula1>
    </dataValidation>
    <dataValidation type="decimal" operator="lessThanOrEqual" allowBlank="1" showErrorMessage="1" promptTitle="Emission Factor" prompt="Enter the emission factor for NOx, in grams per horsepower-hour. The pounds per hour (lb/hr) and tons per year (tpy) will automatically calculate in cells to the right." sqref="B30" xr:uid="{AFCFF02A-CE3B-4A63-9774-B17351605E12}">
      <formula1>C43*453.6/$B$18</formula1>
    </dataValidation>
    <dataValidation type="list" allowBlank="1" showInputMessage="1" showErrorMessage="1" sqref="D30:D35" xr:uid="{3FF16F64-4DA7-4AE2-8648-17BCC9FF448D}">
      <formula1>EngDDSource</formula1>
    </dataValidation>
    <dataValidation type="decimal" operator="lessThanOrEqual" allowBlank="1" showErrorMessage="1" promptTitle="Input Parameters" prompt="Enter the ammonia concentration in ppm." sqref="B24" xr:uid="{090655D8-D8F6-4439-981D-0856DD2BCDFA}">
      <formula1>10</formula1>
    </dataValidation>
    <dataValidation type="list" allowBlank="1" showErrorMessage="1" promptTitle="Input Parameters" prompt="Is there a diesel filter? Select or enter yes or no." sqref="B23" xr:uid="{D3AA4475-EE90-4060-8403-DC473446D8FC}">
      <formula1>"Yes,No"</formula1>
    </dataValidation>
    <dataValidation type="list" allowBlank="1" showErrorMessage="1" promptTitle="Input Parameters" prompt="Is there an oxidation catalyst? Select or enter yes or no." sqref="B22" xr:uid="{A9960696-7A33-4AE7-B74C-4B1C0C607647}">
      <formula1>"Yes,No"</formula1>
    </dataValidation>
    <dataValidation type="decimal" operator="greaterThanOrEqual" allowBlank="1" showErrorMessage="1" errorTitle="Maximum Value Exceeded" error="Please enter a value for this parameter below the maximum value." prompt="Exhaust gas flow rate is deteremined by input parameters." sqref="B26" xr:uid="{A54DE083-7D14-417C-96D1-14BF0FDF9763}">
      <formula1>0</formula1>
    </dataValidation>
    <dataValidation type="list" allowBlank="1" showErrorMessage="1" promptTitle="Input Parameters" prompt="Is there a selective catalytic reduction (SCR) system for this engine? Select or enter yes or no." sqref="B21" xr:uid="{4FFB3EAC-2239-4F43-A7D9-077988E85464}">
      <formula1>"Yes,No"</formula1>
    </dataValidation>
    <dataValidation operator="lessThanOrEqual" allowBlank="1" showErrorMessage="1" promptTitle="Emission Factor" prompt="Enter the emission factor for particulate matter with diameters 2.5 microns or less (PM2.5), in grams per horsepower-hour. The pounds per hour (lb/hr) and tons per year (tpy) will automatically calculate in cells to the right." sqref="B34" xr:uid="{90B0846C-214F-4B8E-A1F6-CA30FB80F3CE}"/>
    <dataValidation operator="lessThanOrEqual" allowBlank="1" showErrorMessage="1" promptTitle="Emission Factor" prompt="Enter the emission factor for particulate matter with diameters 10 microns or less (PM10), in grams per horsepower-hour. The pounds per hour (lb/hr) and tons per year (tpy) will automatically calculate in cells to the right." sqref="B33" xr:uid="{F68DEB20-D3AF-49DC-AAD5-C1ECE1B99E6C}"/>
    <dataValidation operator="lessThanOrEqual" allowBlank="1" showErrorMessage="1" promptTitle="Emission Factor" prompt="Enter the emission factor for particulate matter (PM), in grams per horsepower-hour. The pounds per hour (lb/hr) and tons per year (tpy) will automatically calculate in cells to the right." sqref="B32" xr:uid="{02FA0137-36E5-4982-8C61-8B757CF25587}"/>
    <dataValidation allowBlank="1" showErrorMessage="1" prompt="This cell intentionally left blank for internal comments. All internal comments must be submitted prior to application submittal." sqref="G3:G66 F41" xr:uid="{02724147-D64C-41A8-A8D5-E9BA0C492A1E}"/>
    <dataValidation type="textLength" allowBlank="1" showErrorMessage="1" promptTitle="FIN" prompt="Input the Facility Identification Number for the engine.  Limited to 10 alphanumeric characters." sqref="B6" xr:uid="{FD5EE2E2-F2C3-48DF-9CE0-DE37E48A585D}">
      <formula1>0</formula1>
      <formula2>10</formula2>
    </dataValidation>
    <dataValidation type="decimal" operator="greaterThanOrEqual" allowBlank="1" showErrorMessage="1" errorTitle="Maximum Value Exceeded" error="Please enter a value for this parameter below the maximum value." promptTitle="Input Parameters" prompt="Enter the fuel consumption rate, in pounds of diesel per horsepower-hour._x000a_" sqref="B19" xr:uid="{C573A043-7111-4B14-A015-01AFF0018F6C}">
      <formula1>0</formula1>
    </dataValidation>
  </dataValidations>
  <printOptions horizontalCentered="1"/>
  <pageMargins left="0.25" right="0.25" top="0.57395833333333302" bottom="0.61354166666666698" header="0.3" footer="0.3"/>
  <pageSetup scale="73" orientation="portrait" r:id="rId1"/>
  <headerFooter>
    <oddHeader>&amp;C&amp;"Arial,Regular"Engine Power Generation RAP Application</oddHeader>
    <oddFooter>&amp;L&amp;"Arial,Regular"Version: 1.0&amp;C&amp;"Arial,Regular"Sheet: &amp;A&amp;R&amp;"Arial,Regular"Page &amp;P</oddFooter>
  </headerFooter>
  <rowBreaks count="1" manualBreakCount="1">
    <brk id="52" max="16383" man="1"/>
  </rowBreaks>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057EF-E0D8-4FB0-9EC4-6302B171BA6F}">
  <sheetPr codeName="Sheet8">
    <tabColor rgb="FFFFFFCC"/>
  </sheetPr>
  <dimension ref="A1:N84"/>
  <sheetViews>
    <sheetView showGridLines="0" zoomScaleNormal="100" workbookViewId="0">
      <selection sqref="A1:F1"/>
    </sheetView>
  </sheetViews>
  <sheetFormatPr defaultColWidth="0" defaultRowHeight="14.25" zeroHeight="1" x14ac:dyDescent="0.2"/>
  <cols>
    <col min="1" max="1" width="34.125" style="2" customWidth="1"/>
    <col min="2" max="3" width="14.375" style="2" customWidth="1"/>
    <col min="4" max="4" width="16.375" style="2" customWidth="1"/>
    <col min="5" max="5" width="18.5" style="2" customWidth="1"/>
    <col min="6" max="6" width="27.125" style="2" customWidth="1"/>
    <col min="7" max="7" width="40.625" style="2" customWidth="1"/>
    <col min="8" max="8" width="2.625" style="2" customWidth="1"/>
    <col min="9" max="16384" width="9" style="2" hidden="1"/>
  </cols>
  <sheetData>
    <row r="1" spans="1:13" ht="18.75" thickBot="1" x14ac:dyDescent="0.25">
      <c r="A1" s="861" t="s">
        <v>276</v>
      </c>
      <c r="B1" s="862"/>
      <c r="C1" s="862"/>
      <c r="D1" s="862"/>
      <c r="E1" s="862"/>
      <c r="F1" s="863"/>
      <c r="G1" s="133" t="s">
        <v>60</v>
      </c>
      <c r="H1" s="387"/>
      <c r="I1" s="387" t="b">
        <f>'PI-1-PowerEngine'!$B$78&lt;3</f>
        <v>1</v>
      </c>
      <c r="J1" s="387"/>
      <c r="K1" s="387"/>
      <c r="L1" s="387"/>
      <c r="M1" s="387"/>
    </row>
    <row r="2" spans="1:13" ht="61.5" customHeight="1" thickBot="1" x14ac:dyDescent="0.25">
      <c r="A2" s="880" t="s">
        <v>215</v>
      </c>
      <c r="B2" s="853"/>
      <c r="C2" s="853"/>
      <c r="D2" s="853"/>
      <c r="E2" s="853"/>
      <c r="F2" s="284"/>
      <c r="G2" s="64" t="s">
        <v>63</v>
      </c>
      <c r="H2" s="387"/>
      <c r="I2" s="387"/>
      <c r="J2" s="387"/>
      <c r="K2" s="387"/>
      <c r="L2" s="387"/>
      <c r="M2" s="387"/>
    </row>
    <row r="3" spans="1:13" ht="15" customHeight="1" thickBot="1" x14ac:dyDescent="0.25">
      <c r="A3" s="314" t="s">
        <v>4</v>
      </c>
      <c r="B3" s="97"/>
      <c r="C3" s="97"/>
      <c r="D3" s="97"/>
      <c r="E3" s="97"/>
      <c r="F3" s="97"/>
      <c r="G3" s="138"/>
      <c r="H3" s="387"/>
      <c r="I3" s="387"/>
      <c r="J3" s="387"/>
      <c r="K3" s="387"/>
      <c r="L3" s="387"/>
      <c r="M3" s="387"/>
    </row>
    <row r="4" spans="1:13" ht="17.100000000000001" customHeight="1" thickBot="1" x14ac:dyDescent="0.25">
      <c r="A4" s="171" t="s">
        <v>167</v>
      </c>
      <c r="B4" s="172"/>
      <c r="C4" s="172"/>
      <c r="D4" s="172"/>
      <c r="E4" s="172"/>
      <c r="F4" s="286"/>
      <c r="G4" s="139"/>
      <c r="H4" s="387"/>
      <c r="I4" s="387"/>
      <c r="J4" s="387"/>
      <c r="K4" s="387"/>
      <c r="L4" s="387"/>
      <c r="M4" s="387"/>
    </row>
    <row r="5" spans="1:13" ht="17.100000000000001" customHeight="1" x14ac:dyDescent="0.2">
      <c r="A5" s="295" t="s">
        <v>72</v>
      </c>
      <c r="B5" s="227" t="s">
        <v>73</v>
      </c>
      <c r="C5" s="228"/>
      <c r="D5" s="196"/>
      <c r="E5" s="196"/>
      <c r="F5" s="296"/>
      <c r="G5" s="139"/>
      <c r="H5" s="387"/>
      <c r="I5" s="387"/>
      <c r="J5" s="387"/>
      <c r="K5" s="387"/>
      <c r="L5" s="387"/>
      <c r="M5" s="387"/>
    </row>
    <row r="6" spans="1:13" ht="15" customHeight="1" x14ac:dyDescent="0.2">
      <c r="A6" s="388" t="s">
        <v>216</v>
      </c>
      <c r="B6" s="224"/>
      <c r="C6" s="229"/>
      <c r="D6" s="389"/>
      <c r="E6" s="389"/>
      <c r="F6" s="390"/>
      <c r="G6" s="139"/>
      <c r="H6" s="387"/>
      <c r="I6" s="387"/>
      <c r="J6" s="387"/>
      <c r="K6" s="387"/>
      <c r="L6" s="387"/>
      <c r="M6" s="387"/>
    </row>
    <row r="7" spans="1:13" ht="15" customHeight="1" x14ac:dyDescent="0.2">
      <c r="A7" s="257" t="s">
        <v>217</v>
      </c>
      <c r="B7" s="391"/>
      <c r="C7" s="389"/>
      <c r="D7" s="389"/>
      <c r="E7" s="389"/>
      <c r="F7" s="390"/>
      <c r="G7" s="139"/>
      <c r="H7" s="387"/>
      <c r="I7" s="387"/>
      <c r="J7" s="387"/>
      <c r="K7" s="387"/>
      <c r="L7" s="387"/>
      <c r="M7" s="387"/>
    </row>
    <row r="8" spans="1:13" ht="15" customHeight="1" x14ac:dyDescent="0.2">
      <c r="A8" s="369" t="s">
        <v>218</v>
      </c>
      <c r="B8" s="391"/>
      <c r="C8" s="389"/>
      <c r="D8" s="389"/>
      <c r="E8" s="389"/>
      <c r="F8" s="390"/>
      <c r="G8" s="139"/>
      <c r="H8" s="387"/>
      <c r="I8" s="387"/>
      <c r="J8" s="387"/>
      <c r="K8" s="387"/>
      <c r="L8" s="387"/>
      <c r="M8" s="387"/>
    </row>
    <row r="9" spans="1:13" ht="15" customHeight="1" x14ac:dyDescent="0.2">
      <c r="A9" s="369" t="s">
        <v>219</v>
      </c>
      <c r="B9" s="174"/>
      <c r="C9" s="389"/>
      <c r="D9" s="389"/>
      <c r="E9" s="389"/>
      <c r="F9" s="390"/>
      <c r="G9" s="139"/>
      <c r="H9" s="387"/>
      <c r="I9" s="387"/>
      <c r="J9" s="387"/>
      <c r="K9" s="387"/>
      <c r="L9" s="387"/>
      <c r="M9" s="387"/>
    </row>
    <row r="10" spans="1:13" ht="15" thickBot="1" x14ac:dyDescent="0.25">
      <c r="A10" s="258" t="s">
        <v>220</v>
      </c>
      <c r="B10" s="300"/>
      <c r="C10" s="416"/>
      <c r="D10" s="416"/>
      <c r="E10" s="416"/>
      <c r="F10" s="417"/>
      <c r="G10" s="139"/>
      <c r="H10" s="387"/>
      <c r="I10" s="387"/>
      <c r="J10" s="387"/>
      <c r="K10" s="387"/>
      <c r="L10" s="387"/>
      <c r="M10" s="387"/>
    </row>
    <row r="11" spans="1:13" ht="15" customHeight="1" thickBot="1" x14ac:dyDescent="0.25">
      <c r="A11" s="318" t="s">
        <v>4</v>
      </c>
      <c r="B11" s="318" t="s">
        <v>4</v>
      </c>
      <c r="C11" s="85"/>
      <c r="D11" s="85"/>
      <c r="E11" s="85"/>
      <c r="F11" s="85"/>
      <c r="G11" s="139"/>
      <c r="H11" s="387"/>
      <c r="I11" s="387"/>
      <c r="J11" s="387"/>
      <c r="K11" s="387"/>
      <c r="L11" s="387"/>
      <c r="M11" s="387"/>
    </row>
    <row r="12" spans="1:13" ht="17.100000000000001" customHeight="1" thickBot="1" x14ac:dyDescent="0.25">
      <c r="A12" s="171" t="s">
        <v>221</v>
      </c>
      <c r="B12" s="172"/>
      <c r="C12" s="172"/>
      <c r="D12" s="172"/>
      <c r="E12" s="172"/>
      <c r="F12" s="286"/>
      <c r="G12" s="139"/>
      <c r="H12" s="387"/>
      <c r="I12" s="387"/>
      <c r="J12" s="387"/>
      <c r="K12" s="387"/>
      <c r="L12" s="387"/>
      <c r="M12" s="387"/>
    </row>
    <row r="13" spans="1:13" ht="15" customHeight="1" x14ac:dyDescent="0.2">
      <c r="A13" s="301" t="s">
        <v>222</v>
      </c>
      <c r="B13" s="221" t="s">
        <v>223</v>
      </c>
      <c r="C13" s="221" t="s">
        <v>224</v>
      </c>
      <c r="D13" s="222" t="s">
        <v>225</v>
      </c>
      <c r="E13" s="209"/>
      <c r="F13" s="345"/>
      <c r="G13" s="139"/>
      <c r="H13" s="387"/>
      <c r="I13" s="387"/>
      <c r="J13" s="387"/>
      <c r="K13" s="387"/>
      <c r="L13" s="387"/>
      <c r="M13" s="387"/>
    </row>
    <row r="14" spans="1:13" ht="15" customHeight="1" x14ac:dyDescent="0.2">
      <c r="A14" s="369" t="s">
        <v>226</v>
      </c>
      <c r="B14" s="391"/>
      <c r="C14" s="392">
        <v>25</v>
      </c>
      <c r="D14" s="393" t="s">
        <v>855</v>
      </c>
      <c r="E14" s="394"/>
      <c r="F14" s="395"/>
      <c r="G14" s="139"/>
      <c r="H14" s="387"/>
      <c r="I14" s="387"/>
      <c r="J14" s="387"/>
      <c r="K14" s="387"/>
      <c r="L14" s="387"/>
      <c r="M14" s="387"/>
    </row>
    <row r="15" spans="1:13" ht="15" customHeight="1" x14ac:dyDescent="0.2">
      <c r="A15" s="369" t="s">
        <v>227</v>
      </c>
      <c r="B15" s="391"/>
      <c r="C15" s="392">
        <v>0.66</v>
      </c>
      <c r="D15" s="393" t="s">
        <v>855</v>
      </c>
      <c r="E15" s="394"/>
      <c r="F15" s="395"/>
      <c r="G15" s="139"/>
      <c r="H15" s="387"/>
      <c r="I15" s="387"/>
      <c r="J15" s="387"/>
      <c r="K15" s="387"/>
      <c r="L15" s="387"/>
      <c r="M15" s="387"/>
    </row>
    <row r="16" spans="1:13" ht="15" customHeight="1" x14ac:dyDescent="0.2">
      <c r="A16" s="369" t="s">
        <v>228</v>
      </c>
      <c r="B16" s="396"/>
      <c r="C16" s="392">
        <v>828</v>
      </c>
      <c r="D16" s="393" t="s">
        <v>855</v>
      </c>
      <c r="E16" s="394"/>
      <c r="F16" s="395"/>
      <c r="G16" s="139"/>
      <c r="H16" s="387"/>
      <c r="I16" s="387"/>
      <c r="J16" s="387"/>
      <c r="K16" s="387"/>
      <c r="L16" s="387"/>
      <c r="M16" s="387"/>
    </row>
    <row r="17" spans="1:14" ht="15" customHeight="1" x14ac:dyDescent="0.2">
      <c r="A17" s="369" t="s">
        <v>229</v>
      </c>
      <c r="B17" s="391"/>
      <c r="C17" s="392">
        <v>168.7</v>
      </c>
      <c r="D17" s="393" t="s">
        <v>855</v>
      </c>
      <c r="E17" s="394"/>
      <c r="F17" s="395"/>
      <c r="G17" s="139"/>
      <c r="H17" s="387"/>
      <c r="I17" s="387"/>
      <c r="J17" s="387"/>
      <c r="K17" s="387"/>
      <c r="L17" s="387"/>
      <c r="M17" s="387"/>
      <c r="N17" s="397"/>
    </row>
    <row r="18" spans="1:14" ht="15" customHeight="1" x14ac:dyDescent="0.2">
      <c r="A18" s="282" t="s">
        <v>230</v>
      </c>
      <c r="B18" s="396"/>
      <c r="C18" s="392" t="s">
        <v>855</v>
      </c>
      <c r="D18" s="393" t="s">
        <v>855</v>
      </c>
      <c r="E18" s="394"/>
      <c r="F18" s="395"/>
      <c r="G18" s="139"/>
      <c r="H18" s="387"/>
      <c r="I18" s="387"/>
      <c r="J18" s="387"/>
      <c r="K18" s="387"/>
      <c r="L18" s="387"/>
      <c r="M18" s="387"/>
      <c r="N18" s="387"/>
    </row>
    <row r="19" spans="1:14" ht="15" customHeight="1" x14ac:dyDescent="0.2">
      <c r="A19" s="369" t="s">
        <v>231</v>
      </c>
      <c r="B19" s="391"/>
      <c r="C19" s="392" t="s">
        <v>855</v>
      </c>
      <c r="D19" s="393" t="s">
        <v>855</v>
      </c>
      <c r="E19" s="394"/>
      <c r="F19" s="395"/>
      <c r="G19" s="139"/>
      <c r="H19" s="387"/>
      <c r="I19" s="387"/>
      <c r="J19" s="387"/>
      <c r="K19" s="387"/>
      <c r="L19" s="387"/>
      <c r="M19" s="387"/>
      <c r="N19" s="387"/>
    </row>
    <row r="20" spans="1:14" ht="15" customHeight="1" x14ac:dyDescent="0.2">
      <c r="A20" s="369" t="s">
        <v>232</v>
      </c>
      <c r="B20" s="159"/>
      <c r="C20" s="392" t="s">
        <v>855</v>
      </c>
      <c r="D20" s="393">
        <v>15</v>
      </c>
      <c r="E20" s="394"/>
      <c r="F20" s="395"/>
      <c r="G20" s="139"/>
      <c r="H20" s="387"/>
      <c r="I20" s="387"/>
      <c r="J20" s="387"/>
      <c r="K20" s="387"/>
      <c r="L20" s="387"/>
      <c r="M20" s="387"/>
      <c r="N20" s="387"/>
    </row>
    <row r="21" spans="1:14" ht="33.75" customHeight="1" x14ac:dyDescent="0.2">
      <c r="A21" s="398" t="s">
        <v>233</v>
      </c>
      <c r="B21" s="159"/>
      <c r="C21" s="392" t="s">
        <v>855</v>
      </c>
      <c r="D21" s="393" t="s">
        <v>855</v>
      </c>
      <c r="E21" s="394"/>
      <c r="F21" s="395"/>
      <c r="G21" s="139"/>
      <c r="H21" s="387"/>
      <c r="I21" s="387"/>
      <c r="J21" s="387"/>
      <c r="K21" s="387"/>
      <c r="L21" s="387"/>
      <c r="M21" s="387"/>
      <c r="N21" s="387"/>
    </row>
    <row r="22" spans="1:14" ht="15" customHeight="1" x14ac:dyDescent="0.2">
      <c r="A22" s="257" t="s">
        <v>234</v>
      </c>
      <c r="B22" s="159"/>
      <c r="C22" s="392" t="s">
        <v>855</v>
      </c>
      <c r="D22" s="393" t="s">
        <v>855</v>
      </c>
      <c r="E22" s="394"/>
      <c r="F22" s="395"/>
      <c r="G22" s="139"/>
      <c r="H22" s="387"/>
      <c r="I22" s="387"/>
      <c r="J22" s="387"/>
      <c r="K22" s="387"/>
      <c r="L22" s="387"/>
      <c r="M22" s="387"/>
      <c r="N22" s="387"/>
    </row>
    <row r="23" spans="1:14" ht="15" customHeight="1" x14ac:dyDescent="0.2">
      <c r="A23" s="257" t="s">
        <v>235</v>
      </c>
      <c r="B23" s="159"/>
      <c r="C23" s="392" t="s">
        <v>855</v>
      </c>
      <c r="D23" s="393" t="s">
        <v>855</v>
      </c>
      <c r="E23" s="394"/>
      <c r="F23" s="395"/>
      <c r="G23" s="139"/>
      <c r="H23" s="387"/>
      <c r="I23" s="387"/>
      <c r="J23" s="387"/>
      <c r="K23" s="387"/>
      <c r="L23" s="387"/>
      <c r="M23" s="387"/>
      <c r="N23" s="387"/>
    </row>
    <row r="24" spans="1:14" ht="15" customHeight="1" x14ac:dyDescent="0.2">
      <c r="A24" s="369" t="s">
        <v>236</v>
      </c>
      <c r="B24" s="159"/>
      <c r="C24" s="392" t="s">
        <v>855</v>
      </c>
      <c r="D24" s="393">
        <v>10</v>
      </c>
      <c r="E24" s="394"/>
      <c r="F24" s="395"/>
      <c r="G24" s="139"/>
      <c r="H24" s="387"/>
      <c r="I24" s="387" t="b">
        <f>$B$21="NO"</f>
        <v>0</v>
      </c>
      <c r="J24" s="387"/>
      <c r="K24" s="387"/>
      <c r="L24" s="387"/>
      <c r="M24" s="387"/>
      <c r="N24" s="387"/>
    </row>
    <row r="25" spans="1:14" ht="15" customHeight="1" x14ac:dyDescent="0.2">
      <c r="A25" s="369" t="s">
        <v>237</v>
      </c>
      <c r="B25" s="159"/>
      <c r="C25" s="392" t="s">
        <v>855</v>
      </c>
      <c r="D25" s="393">
        <v>300</v>
      </c>
      <c r="E25" s="394"/>
      <c r="F25" s="395"/>
      <c r="G25" s="139"/>
      <c r="H25" s="387"/>
      <c r="I25" s="387"/>
      <c r="J25" s="387"/>
      <c r="K25" s="387"/>
      <c r="L25" s="387"/>
      <c r="M25" s="387"/>
      <c r="N25" s="387"/>
    </row>
    <row r="26" spans="1:14" ht="15" customHeight="1" thickBot="1" x14ac:dyDescent="0.25">
      <c r="A26" s="283" t="s">
        <v>275</v>
      </c>
      <c r="B26" s="285">
        <f>B17*60*PI()/4*B15^2*(459.67+60)/(459.67+B16)</f>
        <v>0</v>
      </c>
      <c r="C26" s="399" t="s">
        <v>855</v>
      </c>
      <c r="D26" s="400" t="s">
        <v>855</v>
      </c>
      <c r="E26" s="401"/>
      <c r="F26" s="402"/>
      <c r="G26" s="139"/>
      <c r="H26" s="387"/>
      <c r="I26" s="387"/>
      <c r="J26" s="387"/>
      <c r="K26" s="387"/>
      <c r="L26" s="387"/>
      <c r="M26" s="387"/>
      <c r="N26" s="387"/>
    </row>
    <row r="27" spans="1:14" ht="15" customHeight="1" thickBot="1" x14ac:dyDescent="0.25">
      <c r="A27" s="403"/>
      <c r="B27" s="389"/>
      <c r="C27" s="389"/>
      <c r="D27" s="389"/>
      <c r="E27" s="387"/>
      <c r="F27" s="387"/>
      <c r="G27" s="139"/>
      <c r="H27" s="387"/>
      <c r="I27" s="387"/>
      <c r="J27" s="387"/>
      <c r="K27" s="387"/>
      <c r="L27" s="387"/>
      <c r="M27" s="387"/>
      <c r="N27" s="387"/>
    </row>
    <row r="28" spans="1:14" ht="15" customHeight="1" thickBot="1" x14ac:dyDescent="0.25">
      <c r="A28" s="160" t="s">
        <v>239</v>
      </c>
      <c r="B28" s="161"/>
      <c r="C28" s="161"/>
      <c r="D28" s="161"/>
      <c r="E28" s="161"/>
      <c r="F28" s="286"/>
      <c r="G28" s="139"/>
      <c r="H28" s="387"/>
      <c r="I28" s="387"/>
      <c r="J28" s="387"/>
      <c r="K28" s="387"/>
      <c r="L28" s="387"/>
      <c r="M28" s="387"/>
      <c r="N28" s="387"/>
    </row>
    <row r="29" spans="1:14" ht="15" x14ac:dyDescent="0.2">
      <c r="A29" s="225" t="s">
        <v>240</v>
      </c>
      <c r="B29" s="63" t="s">
        <v>241</v>
      </c>
      <c r="C29" s="221" t="s">
        <v>242</v>
      </c>
      <c r="D29" s="357" t="s">
        <v>243</v>
      </c>
      <c r="E29" s="882" t="s">
        <v>244</v>
      </c>
      <c r="F29" s="867"/>
      <c r="G29" s="139"/>
      <c r="H29" s="387"/>
      <c r="I29" s="387"/>
      <c r="J29" s="387"/>
      <c r="K29" s="387"/>
      <c r="L29" s="387"/>
      <c r="M29" s="387"/>
      <c r="N29" s="387"/>
    </row>
    <row r="30" spans="1:14" x14ac:dyDescent="0.2">
      <c r="A30" s="334" t="s">
        <v>245</v>
      </c>
      <c r="B30" s="404"/>
      <c r="C30" s="392" t="s">
        <v>246</v>
      </c>
      <c r="D30" s="355"/>
      <c r="E30" s="881" t="str">
        <f>IFERROR(INDEX(Reference!$AQ$14:$AQ$17,MATCH(D30,EngDDSource,0)),"")</f>
        <v/>
      </c>
      <c r="F30" s="865"/>
      <c r="G30" s="139"/>
      <c r="H30" s="387"/>
      <c r="I30" s="387"/>
      <c r="J30" s="387"/>
      <c r="K30" s="387"/>
      <c r="L30" s="387"/>
      <c r="M30" s="387"/>
      <c r="N30" s="387"/>
    </row>
    <row r="31" spans="1:14" x14ac:dyDescent="0.2">
      <c r="A31" s="334" t="s">
        <v>247</v>
      </c>
      <c r="B31" s="404"/>
      <c r="C31" s="392" t="s">
        <v>246</v>
      </c>
      <c r="D31" s="355"/>
      <c r="E31" s="881" t="str">
        <f>IFERROR(INDEX(Reference!$AQ$14:$AQ$17,MATCH(D31,EngDDSource,0)),"")</f>
        <v/>
      </c>
      <c r="F31" s="865"/>
      <c r="G31" s="139"/>
      <c r="H31" s="387"/>
      <c r="I31" s="387"/>
      <c r="J31" s="387"/>
      <c r="K31" s="387"/>
      <c r="L31" s="387"/>
      <c r="M31" s="387"/>
      <c r="N31" s="387"/>
    </row>
    <row r="32" spans="1:14" x14ac:dyDescent="0.2">
      <c r="A32" s="334" t="s">
        <v>248</v>
      </c>
      <c r="B32" s="153"/>
      <c r="C32" s="392" t="s">
        <v>246</v>
      </c>
      <c r="D32" s="355"/>
      <c r="E32" s="881" t="str">
        <f>IFERROR(INDEX(Reference!$AQ$14:$AQ$17,MATCH(D32,EngDDSource,0)),"")</f>
        <v/>
      </c>
      <c r="F32" s="865"/>
      <c r="G32" s="139"/>
      <c r="H32" s="387"/>
      <c r="I32" s="387"/>
      <c r="J32" s="387"/>
      <c r="K32" s="387"/>
      <c r="L32" s="387"/>
      <c r="M32" s="387"/>
      <c r="N32" s="387"/>
    </row>
    <row r="33" spans="1:13" x14ac:dyDescent="0.2">
      <c r="A33" s="334" t="s">
        <v>249</v>
      </c>
      <c r="B33" s="153"/>
      <c r="C33" s="392" t="s">
        <v>246</v>
      </c>
      <c r="D33" s="355"/>
      <c r="E33" s="881" t="str">
        <f>IFERROR(INDEX(Reference!$AQ$14:$AQ$17,MATCH(D33,EngDDSource,0)),"")</f>
        <v/>
      </c>
      <c r="F33" s="865"/>
      <c r="G33" s="139"/>
      <c r="H33" s="387"/>
      <c r="I33" s="387"/>
      <c r="J33" s="387"/>
      <c r="K33" s="387"/>
      <c r="L33" s="387"/>
      <c r="M33" s="387"/>
    </row>
    <row r="34" spans="1:13" x14ac:dyDescent="0.2">
      <c r="A34" s="334" t="s">
        <v>250</v>
      </c>
      <c r="B34" s="153"/>
      <c r="C34" s="392" t="s">
        <v>246</v>
      </c>
      <c r="D34" s="355"/>
      <c r="E34" s="881" t="str">
        <f>IFERROR(INDEX(Reference!$AQ$14:$AQ$17,MATCH(D34,EngDDSource,0)),"")</f>
        <v/>
      </c>
      <c r="F34" s="865"/>
      <c r="G34" s="139"/>
      <c r="H34" s="387"/>
      <c r="I34" s="387"/>
      <c r="J34" s="387"/>
      <c r="K34" s="387"/>
      <c r="L34" s="387"/>
      <c r="M34" s="387"/>
    </row>
    <row r="35" spans="1:13" x14ac:dyDescent="0.2">
      <c r="A35" s="334" t="s">
        <v>251</v>
      </c>
      <c r="B35" s="404"/>
      <c r="C35" s="392" t="s">
        <v>246</v>
      </c>
      <c r="D35" s="355"/>
      <c r="E35" s="881" t="str">
        <f>IFERROR(INDEX(Reference!$AQ$14:$AQ$17,MATCH(D35,EngDDSource,0)),"")</f>
        <v/>
      </c>
      <c r="F35" s="865"/>
      <c r="G35" s="139"/>
      <c r="H35" s="387"/>
      <c r="I35" s="387"/>
      <c r="J35" s="387"/>
      <c r="K35" s="387"/>
      <c r="L35" s="387"/>
      <c r="M35" s="387"/>
    </row>
    <row r="36" spans="1:13" ht="33.75" customHeight="1" x14ac:dyDescent="0.2">
      <c r="A36" s="334" t="s">
        <v>252</v>
      </c>
      <c r="B36" s="155" t="s">
        <v>855</v>
      </c>
      <c r="C36" s="392" t="s">
        <v>855</v>
      </c>
      <c r="D36" s="356" t="s">
        <v>253</v>
      </c>
      <c r="E36" s="881" t="s">
        <v>254</v>
      </c>
      <c r="F36" s="865"/>
      <c r="G36" s="139"/>
      <c r="H36" s="387"/>
      <c r="I36" s="387"/>
      <c r="J36" s="387"/>
      <c r="K36" s="387"/>
      <c r="L36" s="387"/>
      <c r="M36" s="387"/>
    </row>
    <row r="37" spans="1:13" ht="33.75" customHeight="1" x14ac:dyDescent="0.2">
      <c r="A37" s="334" t="s">
        <v>255</v>
      </c>
      <c r="B37" s="155" t="s">
        <v>855</v>
      </c>
      <c r="C37" s="392" t="s">
        <v>855</v>
      </c>
      <c r="D37" s="356" t="s">
        <v>253</v>
      </c>
      <c r="E37" s="881" t="s">
        <v>256</v>
      </c>
      <c r="F37" s="865"/>
      <c r="G37" s="139"/>
      <c r="H37" s="387"/>
      <c r="I37" s="387"/>
      <c r="J37" s="387"/>
      <c r="K37" s="387"/>
      <c r="L37" s="387"/>
      <c r="M37" s="387"/>
    </row>
    <row r="38" spans="1:13" ht="33.75" customHeight="1" thickBot="1" x14ac:dyDescent="0.25">
      <c r="A38" s="337" t="s">
        <v>257</v>
      </c>
      <c r="B38" s="341" t="s">
        <v>855</v>
      </c>
      <c r="C38" s="341" t="s">
        <v>855</v>
      </c>
      <c r="D38" s="358" t="s">
        <v>253</v>
      </c>
      <c r="E38" s="876" t="s">
        <v>258</v>
      </c>
      <c r="F38" s="877"/>
      <c r="G38" s="139"/>
      <c r="H38" s="387"/>
      <c r="I38" s="387" t="b">
        <f>$I$24</f>
        <v>0</v>
      </c>
      <c r="J38" s="387"/>
      <c r="K38" s="387"/>
      <c r="L38" s="387"/>
      <c r="M38" s="387"/>
    </row>
    <row r="39" spans="1:13" ht="15" customHeight="1" thickBot="1" x14ac:dyDescent="0.25">
      <c r="A39" s="403"/>
      <c r="B39" s="389"/>
      <c r="C39" s="389"/>
      <c r="D39" s="389"/>
      <c r="E39" s="387"/>
      <c r="F39" s="387"/>
      <c r="G39" s="139"/>
      <c r="H39" s="387"/>
      <c r="I39" s="387"/>
      <c r="J39" s="387"/>
      <c r="K39" s="387"/>
      <c r="L39" s="387"/>
      <c r="M39" s="387"/>
    </row>
    <row r="40" spans="1:13" ht="17.100000000000001" customHeight="1" thickBot="1" x14ac:dyDescent="0.25">
      <c r="A40" s="160" t="s">
        <v>259</v>
      </c>
      <c r="B40" s="161"/>
      <c r="C40" s="161"/>
      <c r="D40" s="161"/>
      <c r="E40" s="161"/>
      <c r="F40" s="286"/>
      <c r="G40" s="139"/>
      <c r="H40" s="387"/>
      <c r="I40" s="387"/>
      <c r="J40" s="387"/>
      <c r="K40" s="387"/>
      <c r="L40" s="387"/>
      <c r="M40" s="387"/>
    </row>
    <row r="41" spans="1:13" ht="46.5" customHeight="1" x14ac:dyDescent="0.2">
      <c r="A41" s="733" t="s">
        <v>260</v>
      </c>
      <c r="B41" s="842"/>
      <c r="C41" s="842"/>
      <c r="D41" s="842"/>
      <c r="E41" s="842"/>
      <c r="F41" s="868"/>
      <c r="G41" s="139"/>
      <c r="H41" s="387"/>
      <c r="I41" s="387"/>
      <c r="J41" s="387"/>
      <c r="K41" s="387"/>
      <c r="L41" s="387"/>
      <c r="M41" s="387"/>
    </row>
    <row r="42" spans="1:13" ht="49.5" customHeight="1" x14ac:dyDescent="0.2">
      <c r="A42" s="225" t="s">
        <v>240</v>
      </c>
      <c r="B42" s="221" t="s">
        <v>261</v>
      </c>
      <c r="C42" s="221" t="s">
        <v>262</v>
      </c>
      <c r="D42" s="221" t="s">
        <v>263</v>
      </c>
      <c r="E42" s="222" t="s">
        <v>264</v>
      </c>
      <c r="F42" s="343"/>
      <c r="G42" s="139"/>
      <c r="H42" s="387"/>
      <c r="I42" s="387"/>
      <c r="J42" s="387"/>
      <c r="K42" s="387"/>
      <c r="L42" s="387"/>
      <c r="M42" s="387"/>
    </row>
    <row r="43" spans="1:13" ht="15" customHeight="1" x14ac:dyDescent="0.2">
      <c r="A43" s="405" t="s">
        <v>245</v>
      </c>
      <c r="B43" s="406">
        <f t="shared" ref="B43:B48" si="0">$B$18*B30/453.6</f>
        <v>0</v>
      </c>
      <c r="C43" s="407">
        <v>1.85</v>
      </c>
      <c r="D43" s="406">
        <f t="shared" ref="D43:D51" si="1">B43*$B$25/2000</f>
        <v>0</v>
      </c>
      <c r="E43" s="393">
        <v>0.27750000000000002</v>
      </c>
      <c r="F43" s="390"/>
      <c r="G43" s="139"/>
      <c r="H43" s="387"/>
      <c r="I43" s="387"/>
      <c r="J43" s="387" t="b">
        <f>$B43&gt;$C43</f>
        <v>0</v>
      </c>
      <c r="K43" s="387"/>
      <c r="L43" s="387" t="b">
        <f>$D43&gt;$E43</f>
        <v>0</v>
      </c>
      <c r="M43" s="387"/>
    </row>
    <row r="44" spans="1:13" ht="15" customHeight="1" x14ac:dyDescent="0.2">
      <c r="A44" s="405" t="s">
        <v>247</v>
      </c>
      <c r="B44" s="406">
        <f t="shared" si="0"/>
        <v>0</v>
      </c>
      <c r="C44" s="407">
        <v>5.43</v>
      </c>
      <c r="D44" s="406">
        <f t="shared" si="1"/>
        <v>0</v>
      </c>
      <c r="E44" s="393" t="s">
        <v>855</v>
      </c>
      <c r="F44" s="390"/>
      <c r="G44" s="139"/>
      <c r="H44" s="387"/>
      <c r="I44" s="387"/>
      <c r="J44" s="387" t="b">
        <f t="shared" ref="J44:J51" si="2">$B44&gt;$C44</f>
        <v>0</v>
      </c>
      <c r="K44" s="387"/>
      <c r="L44" s="387"/>
      <c r="M44" s="387"/>
    </row>
    <row r="45" spans="1:13" ht="15" customHeight="1" x14ac:dyDescent="0.2">
      <c r="A45" s="405" t="s">
        <v>248</v>
      </c>
      <c r="B45" s="406">
        <f t="shared" si="0"/>
        <v>0</v>
      </c>
      <c r="C45" s="392" t="s">
        <v>855</v>
      </c>
      <c r="D45" s="406">
        <f t="shared" si="1"/>
        <v>0</v>
      </c>
      <c r="E45" s="393" t="s">
        <v>855</v>
      </c>
      <c r="F45" s="390"/>
      <c r="G45" s="139"/>
      <c r="H45" s="387"/>
      <c r="I45" s="387"/>
      <c r="J45" s="387"/>
      <c r="K45" s="387"/>
      <c r="L45" s="387"/>
      <c r="M45" s="387"/>
    </row>
    <row r="46" spans="1:13" ht="15" customHeight="1" x14ac:dyDescent="0.2">
      <c r="A46" s="405" t="s">
        <v>249</v>
      </c>
      <c r="B46" s="406">
        <f t="shared" si="0"/>
        <v>0</v>
      </c>
      <c r="C46" s="408">
        <v>2.1999999999999999E-2</v>
      </c>
      <c r="D46" s="406">
        <f t="shared" si="1"/>
        <v>0</v>
      </c>
      <c r="E46" s="393" t="s">
        <v>855</v>
      </c>
      <c r="F46" s="390"/>
      <c r="G46" s="139"/>
      <c r="H46" s="387"/>
      <c r="I46" s="387"/>
      <c r="J46" s="387" t="b">
        <f t="shared" si="2"/>
        <v>0</v>
      </c>
      <c r="K46" s="387"/>
      <c r="L46" s="387"/>
      <c r="M46" s="387"/>
    </row>
    <row r="47" spans="1:13" ht="15" customHeight="1" x14ac:dyDescent="0.2">
      <c r="A47" s="405" t="s">
        <v>250</v>
      </c>
      <c r="B47" s="406">
        <f t="shared" si="0"/>
        <v>0</v>
      </c>
      <c r="C47" s="408">
        <v>2.1999999999999999E-2</v>
      </c>
      <c r="D47" s="406">
        <f t="shared" si="1"/>
        <v>0</v>
      </c>
      <c r="E47" s="393">
        <v>3.3999999999999998E-3</v>
      </c>
      <c r="F47" s="390"/>
      <c r="G47" s="139"/>
      <c r="H47" s="387"/>
      <c r="I47" s="387"/>
      <c r="J47" s="387" t="b">
        <f t="shared" si="2"/>
        <v>0</v>
      </c>
      <c r="K47" s="387"/>
      <c r="L47" s="387" t="b">
        <f t="shared" ref="L47:L51" si="3">$D47&gt;$E47</f>
        <v>0</v>
      </c>
      <c r="M47" s="387"/>
    </row>
    <row r="48" spans="1:13" ht="15" customHeight="1" x14ac:dyDescent="0.2">
      <c r="A48" s="405" t="s">
        <v>251</v>
      </c>
      <c r="B48" s="406">
        <f t="shared" si="0"/>
        <v>0</v>
      </c>
      <c r="C48" s="392" t="s">
        <v>855</v>
      </c>
      <c r="D48" s="406">
        <f t="shared" si="1"/>
        <v>0</v>
      </c>
      <c r="E48" s="393" t="s">
        <v>855</v>
      </c>
      <c r="F48" s="390"/>
      <c r="G48" s="139"/>
      <c r="H48" s="387"/>
      <c r="I48" s="387"/>
      <c r="J48" s="387"/>
      <c r="K48" s="387"/>
      <c r="L48" s="387"/>
      <c r="M48" s="387"/>
    </row>
    <row r="49" spans="1:13" ht="15" customHeight="1" x14ac:dyDescent="0.2">
      <c r="A49" s="405" t="s">
        <v>252</v>
      </c>
      <c r="B49" s="406">
        <f>$B$19*7.05*$B$18*($B$20/1000000)*(64/32)</f>
        <v>0</v>
      </c>
      <c r="C49" s="408">
        <v>5.8999999999999997E-2</v>
      </c>
      <c r="D49" s="406">
        <f t="shared" si="1"/>
        <v>0</v>
      </c>
      <c r="E49" s="393">
        <v>8.8000000000000005E-3</v>
      </c>
      <c r="F49" s="390"/>
      <c r="G49" s="139"/>
      <c r="H49" s="387"/>
      <c r="I49" s="387"/>
      <c r="J49" s="387" t="b">
        <f t="shared" si="2"/>
        <v>0</v>
      </c>
      <c r="K49" s="387"/>
      <c r="L49" s="387" t="b">
        <f t="shared" si="3"/>
        <v>0</v>
      </c>
      <c r="M49" s="387"/>
    </row>
    <row r="50" spans="1:13" ht="15" customHeight="1" x14ac:dyDescent="0.2">
      <c r="A50" s="405" t="s">
        <v>255</v>
      </c>
      <c r="B50" s="406">
        <f>$B$49*(1/64.06)*(0.1/1)*98.07</f>
        <v>0</v>
      </c>
      <c r="C50" s="409">
        <v>5.7000000000000002E-3</v>
      </c>
      <c r="D50" s="406">
        <f t="shared" si="1"/>
        <v>0</v>
      </c>
      <c r="E50" s="393" t="s">
        <v>855</v>
      </c>
      <c r="F50" s="390"/>
      <c r="G50" s="139"/>
      <c r="H50" s="387"/>
      <c r="I50" s="387"/>
      <c r="J50" s="387" t="b">
        <f t="shared" si="2"/>
        <v>0</v>
      </c>
      <c r="K50" s="387"/>
      <c r="L50" s="387"/>
      <c r="M50" s="387"/>
    </row>
    <row r="51" spans="1:13" ht="15" customHeight="1" x14ac:dyDescent="0.2">
      <c r="A51" s="410" t="s">
        <v>257</v>
      </c>
      <c r="B51" s="619">
        <f>IF(B21="no",0,$B$24*(17/379)*$B$26*(60/1000000))</f>
        <v>0</v>
      </c>
      <c r="C51" s="226">
        <v>0.129</v>
      </c>
      <c r="D51" s="621">
        <f t="shared" si="1"/>
        <v>0</v>
      </c>
      <c r="E51" s="412">
        <v>1.9300000000000001E-2</v>
      </c>
      <c r="F51" s="390"/>
      <c r="G51" s="139"/>
      <c r="H51" s="387"/>
      <c r="I51" s="387" t="b">
        <f>$I$24</f>
        <v>0</v>
      </c>
      <c r="J51" s="387" t="b">
        <f t="shared" si="2"/>
        <v>0</v>
      </c>
      <c r="K51" s="387"/>
      <c r="L51" s="387" t="b">
        <f t="shared" si="3"/>
        <v>0</v>
      </c>
      <c r="M51" s="387"/>
    </row>
    <row r="52" spans="1:13" ht="90.75" customHeight="1" thickBot="1" x14ac:dyDescent="0.25">
      <c r="A52" s="878" t="s">
        <v>265</v>
      </c>
      <c r="B52" s="844"/>
      <c r="C52" s="844"/>
      <c r="D52" s="844"/>
      <c r="E52" s="844"/>
      <c r="F52" s="879"/>
      <c r="G52" s="139"/>
      <c r="H52" s="387"/>
      <c r="I52" s="387"/>
      <c r="J52" s="387"/>
      <c r="K52" s="387"/>
      <c r="L52" s="387"/>
      <c r="M52" s="387"/>
    </row>
    <row r="53" spans="1:13" ht="15" customHeight="1" thickBot="1" x14ac:dyDescent="0.25">
      <c r="A53" s="316"/>
      <c r="B53" s="154"/>
      <c r="C53" s="154"/>
      <c r="D53" s="154"/>
      <c r="E53" s="154"/>
      <c r="F53" s="154"/>
      <c r="G53" s="139"/>
      <c r="H53" s="387"/>
      <c r="I53" s="387"/>
      <c r="J53" s="387"/>
      <c r="K53" s="387"/>
      <c r="L53" s="387"/>
      <c r="M53" s="387"/>
    </row>
    <row r="54" spans="1:13" ht="17.100000000000001" customHeight="1" thickBot="1" x14ac:dyDescent="0.25">
      <c r="A54" s="156" t="s">
        <v>266</v>
      </c>
      <c r="B54" s="157"/>
      <c r="C54" s="157"/>
      <c r="D54" s="157"/>
      <c r="E54" s="157"/>
      <c r="F54" s="286"/>
      <c r="G54" s="139"/>
      <c r="H54" s="387"/>
      <c r="I54" s="387"/>
      <c r="J54" s="387"/>
      <c r="K54" s="387"/>
      <c r="L54" s="387"/>
      <c r="M54" s="387"/>
    </row>
    <row r="55" spans="1:13" ht="20.100000000000001" customHeight="1" thickBot="1" x14ac:dyDescent="0.25">
      <c r="A55" s="413" t="s">
        <v>267</v>
      </c>
      <c r="B55" s="414"/>
      <c r="C55" s="414"/>
      <c r="D55" s="414"/>
      <c r="E55" s="414"/>
      <c r="F55" s="415"/>
      <c r="G55" s="139"/>
      <c r="H55" s="387"/>
      <c r="I55" s="387"/>
      <c r="J55" s="387"/>
      <c r="K55" s="387"/>
      <c r="L55" s="387"/>
      <c r="M55" s="387"/>
    </row>
    <row r="56" spans="1:13" ht="20.100000000000001" customHeight="1" x14ac:dyDescent="0.2">
      <c r="A56" s="204" t="s">
        <v>268</v>
      </c>
      <c r="B56" s="201"/>
      <c r="C56" s="201"/>
      <c r="D56" s="201"/>
      <c r="E56" s="201"/>
      <c r="F56" s="352"/>
      <c r="G56" s="139"/>
      <c r="H56" s="387"/>
      <c r="I56" s="387"/>
      <c r="J56" s="387"/>
      <c r="K56" s="387"/>
      <c r="L56" s="387"/>
      <c r="M56" s="387"/>
    </row>
    <row r="57" spans="1:13" customFormat="1" ht="20.100000000000001" customHeight="1" x14ac:dyDescent="0.2">
      <c r="A57" s="90" t="str">
        <f>"("&amp;TEXT($B$18,"#,##0")&amp;" hp × "&amp;$B$30&amp;" g/hp-hr)"&amp;" ÷ 453.6 lb/g = "&amp;TEXT(($B$18*B30)/453.6,"#,##0.00##")&amp;" lb/hr"</f>
        <v>(0 hp ×  g/hp-hr) ÷ 453.6 lb/g = 0.00 lb/hr</v>
      </c>
      <c r="B57" s="91"/>
      <c r="C57" s="91"/>
      <c r="D57" s="91"/>
      <c r="E57" s="91"/>
      <c r="F57" s="91"/>
      <c r="G57" s="193"/>
    </row>
    <row r="58" spans="1:13" ht="20.100000000000001" customHeight="1" x14ac:dyDescent="0.2">
      <c r="A58" s="205" t="s">
        <v>269</v>
      </c>
      <c r="B58" s="206"/>
      <c r="C58" s="206"/>
      <c r="D58" s="206"/>
      <c r="E58" s="206"/>
      <c r="F58" s="354"/>
      <c r="G58" s="139"/>
      <c r="H58" s="387"/>
      <c r="I58" s="387"/>
      <c r="J58" s="387"/>
      <c r="K58" s="387"/>
      <c r="L58" s="387"/>
      <c r="M58" s="387"/>
    </row>
    <row r="59" spans="1:13" customFormat="1" ht="20.100000000000001" customHeight="1" x14ac:dyDescent="0.2">
      <c r="A59" s="869" t="str">
        <f>"("&amp;TEXT(B19,"#,##0")&amp;" gal diesel/hp-hr × 7.05 lb diesel/gal diesel × "&amp;TEXT($B$18,"#,##0")&amp;" hp)"&amp;" × ("&amp;$B$20&amp;" lb S ÷ 1,000,000 lb diesel)"&amp;" × (64 lb SO2 ÷ 32 lb S) = "&amp;TEXT($B$19*7.05*$B$18*($B$20/1000000)*(64/32),"#,##0.00##")&amp;" lb/hr"</f>
        <v>(0 gal diesel/hp-hr × 7.05 lb diesel/gal diesel × 0 hp) × ( lb S ÷ 1,000,000 lb diesel) × (64 lb SO2 ÷ 32 lb S) = 0.00 lb/hr</v>
      </c>
      <c r="B59" s="870"/>
      <c r="C59" s="870"/>
      <c r="D59" s="870"/>
      <c r="E59" s="870"/>
      <c r="F59" s="871"/>
      <c r="G59" s="193"/>
    </row>
    <row r="60" spans="1:13" ht="20.100000000000001" customHeight="1" x14ac:dyDescent="0.2">
      <c r="A60" s="353" t="s">
        <v>270</v>
      </c>
      <c r="B60" s="271"/>
      <c r="C60" s="271"/>
      <c r="D60" s="271"/>
      <c r="E60" s="271"/>
      <c r="F60" s="271"/>
      <c r="G60" s="139"/>
      <c r="H60" s="387"/>
      <c r="I60" s="387"/>
      <c r="J60" s="387"/>
      <c r="K60" s="387"/>
      <c r="L60" s="387"/>
      <c r="M60" s="387"/>
    </row>
    <row r="61" spans="1:13" customFormat="1" ht="30" customHeight="1" x14ac:dyDescent="0.2">
      <c r="A61" s="707" t="str">
        <f>"("&amp;TEXT($B$49,"#,##0.00")&amp;" lb/hr) × (1 lb mol SO2 ÷ 64.06 lb SO2) × (0.1 lb mol SO3 ÷ 1 lb mol SO2) × (1 lb mol H2SO4 ÷ 1 lb mol SO3) × (98.07 lb H2SO4 ÷ 1 lb mol H2SO4) = "&amp;TEXT($B$49*(1/64.06)*(0.1/1)*98.07,"#,##0.00##")&amp;" lb/hr"</f>
        <v>(0.00 lb/hr) × (1 lb mol SO2 ÷ 64.06 lb SO2) × (0.1 lb mol SO3 ÷ 1 lb mol SO2) × (1 lb mol H2SO4 ÷ 1 lb mol SO3) × (98.07 lb H2SO4 ÷ 1 lb mol H2SO4) = 0.00 lb/hr</v>
      </c>
      <c r="B61" s="859"/>
      <c r="C61" s="859"/>
      <c r="D61" s="859"/>
      <c r="E61" s="859"/>
      <c r="F61" s="860"/>
      <c r="G61" s="193"/>
    </row>
    <row r="62" spans="1:13" ht="20.100000000000001" customHeight="1" x14ac:dyDescent="0.2">
      <c r="A62" s="90" t="s">
        <v>271</v>
      </c>
      <c r="B62" s="415"/>
      <c r="C62" s="415"/>
      <c r="D62" s="415"/>
      <c r="E62" s="415"/>
      <c r="F62" s="415"/>
      <c r="G62" s="139"/>
      <c r="H62" s="387"/>
      <c r="I62" s="387"/>
      <c r="J62" s="387"/>
      <c r="K62" s="387"/>
      <c r="L62" s="387"/>
      <c r="M62" s="387"/>
    </row>
    <row r="63" spans="1:13" ht="20.100000000000001" customHeight="1" x14ac:dyDescent="0.2">
      <c r="A63" s="205" t="s">
        <v>272</v>
      </c>
      <c r="B63" s="206"/>
      <c r="C63" s="206"/>
      <c r="D63" s="206"/>
      <c r="E63" s="206"/>
      <c r="F63" s="354"/>
      <c r="G63" s="139"/>
      <c r="H63" s="387"/>
      <c r="I63" s="387" t="b">
        <f>$I$24</f>
        <v>0</v>
      </c>
      <c r="J63" s="387"/>
      <c r="K63" s="387"/>
      <c r="L63" s="387"/>
      <c r="M63" s="387"/>
    </row>
    <row r="64" spans="1:13" customFormat="1" ht="20.100000000000001" customHeight="1" x14ac:dyDescent="0.2">
      <c r="A64" s="869" t="str">
        <f>"("&amp;TEXT($B$24,"#,##0.00")&amp;" ppm NH3 × 17 lb NH3/lb-mol × "&amp;TEXT($B$26,"#,##0.00")&amp;" scf/min × 60 min/hr) ÷ (379.00 dscf/lb-mol × 1000000) = "&amp;TEXT($B$24*(17/379)*$B$26*(60/1000000),"#,##0.00##")&amp;" lb/hr"</f>
        <v>(0.00 ppm NH3 × 17 lb NH3/lb-mol × 0.00 scf/min × 60 min/hr) ÷ (379.00 dscf/lb-mol × 1000000) = 0.00 lb/hr</v>
      </c>
      <c r="B64" s="870"/>
      <c r="C64" s="870"/>
      <c r="D64" s="870"/>
      <c r="E64" s="870"/>
      <c r="F64" s="871"/>
      <c r="G64" s="193"/>
      <c r="I64" t="b">
        <f>$I$24</f>
        <v>0</v>
      </c>
    </row>
    <row r="65" spans="1:13" ht="20.100000000000001" customHeight="1" x14ac:dyDescent="0.2">
      <c r="A65" s="353" t="s">
        <v>273</v>
      </c>
      <c r="B65" s="271"/>
      <c r="C65" s="271"/>
      <c r="D65" s="271"/>
      <c r="E65" s="271"/>
      <c r="F65" s="271"/>
      <c r="G65" s="139"/>
      <c r="H65" s="387"/>
      <c r="I65" s="387"/>
      <c r="J65" s="387"/>
      <c r="K65" s="387"/>
      <c r="L65" s="387"/>
      <c r="M65" s="387"/>
    </row>
    <row r="66" spans="1:13" customFormat="1" ht="20.100000000000001" customHeight="1" thickBot="1" x14ac:dyDescent="0.25">
      <c r="A66" s="207" t="str">
        <f>"("&amp;TEXT($B$43,"#,##0.00")&amp;" lb/hr × "&amp;$B$25&amp;" hr/yr)"&amp;" ÷  2000 lb/ton = "&amp;TEXT(($B$43*$B$25)/2000,"#,##0.00##")&amp;" tpy"</f>
        <v>(0.00 lb/hr ×  hr/yr) ÷  2000 lb/ton = 0.00 tpy</v>
      </c>
      <c r="B66" s="208"/>
      <c r="C66" s="208"/>
      <c r="D66" s="208"/>
      <c r="E66" s="208"/>
      <c r="F66" s="208"/>
      <c r="G66" s="143"/>
    </row>
    <row r="67" spans="1:13" ht="8.4499999999999993" customHeight="1" x14ac:dyDescent="0.2">
      <c r="A67" s="313"/>
      <c r="B67" s="164"/>
      <c r="C67" s="164"/>
      <c r="D67" s="164"/>
      <c r="E67" s="164"/>
      <c r="F67" s="164"/>
      <c r="G67" s="164"/>
      <c r="H67" s="387"/>
      <c r="I67" s="387"/>
      <c r="J67" s="387"/>
      <c r="K67" s="387"/>
      <c r="L67" s="387"/>
      <c r="M67" s="387"/>
    </row>
    <row r="68" spans="1:13" x14ac:dyDescent="0.2">
      <c r="A68" s="812" t="str">
        <f>HYPERLINK("#Sheet_Eng4","End of sheet. Click here to move to the next sheet.")</f>
        <v>End of sheet. Click here to move to the next sheet.</v>
      </c>
      <c r="B68" s="858"/>
      <c r="C68" s="858"/>
      <c r="D68" s="858"/>
      <c r="E68" s="858"/>
      <c r="F68" s="858"/>
      <c r="G68" s="146"/>
      <c r="H68" s="387"/>
      <c r="I68" s="387"/>
      <c r="J68" s="387"/>
      <c r="K68" s="387"/>
      <c r="L68" s="387"/>
      <c r="M68" s="387"/>
    </row>
    <row r="69" spans="1:13" ht="8.4499999999999993" hidden="1" customHeight="1" x14ac:dyDescent="0.2">
      <c r="A69" s="85"/>
      <c r="B69" s="85"/>
      <c r="C69" s="85"/>
      <c r="D69" s="85"/>
      <c r="E69" s="85"/>
      <c r="F69" s="85"/>
      <c r="G69" s="85"/>
      <c r="H69" s="387"/>
      <c r="I69" s="387"/>
      <c r="J69" s="387"/>
      <c r="K69" s="387"/>
      <c r="L69" s="387"/>
      <c r="M69" s="387"/>
    </row>
    <row r="70" spans="1:13" hidden="1" x14ac:dyDescent="0.2">
      <c r="A70" s="387"/>
      <c r="B70" s="387"/>
      <c r="C70" s="387"/>
      <c r="D70" s="387"/>
      <c r="E70" s="387"/>
      <c r="F70" s="387"/>
      <c r="G70" s="387"/>
      <c r="H70" s="387"/>
      <c r="I70" s="387"/>
      <c r="J70" s="387"/>
      <c r="K70" s="387"/>
      <c r="L70" s="387"/>
      <c r="M70" s="387"/>
    </row>
    <row r="71" spans="1:13" hidden="1" x14ac:dyDescent="0.2">
      <c r="A71" s="387"/>
      <c r="B71" s="387"/>
      <c r="C71" s="387"/>
      <c r="D71" s="387"/>
      <c r="E71" s="387"/>
      <c r="F71" s="387"/>
      <c r="G71" s="387"/>
      <c r="H71" s="387"/>
      <c r="I71" s="387"/>
      <c r="J71" s="387"/>
      <c r="K71" s="387"/>
      <c r="L71" s="387"/>
      <c r="M71" s="387"/>
    </row>
    <row r="72" spans="1:13" hidden="1" x14ac:dyDescent="0.2">
      <c r="A72" s="387"/>
      <c r="B72" s="387"/>
      <c r="C72" s="387"/>
      <c r="D72" s="387"/>
      <c r="E72" s="387"/>
      <c r="F72" s="387"/>
      <c r="G72" s="387"/>
      <c r="H72" s="387"/>
      <c r="I72" s="387"/>
      <c r="J72" s="387"/>
      <c r="K72" s="387"/>
      <c r="L72" s="387"/>
      <c r="M72" s="387"/>
    </row>
    <row r="73" spans="1:13" hidden="1" x14ac:dyDescent="0.2">
      <c r="A73" s="387"/>
      <c r="B73" s="387"/>
      <c r="C73" s="387"/>
      <c r="D73" s="387"/>
      <c r="E73" s="387"/>
      <c r="F73" s="387"/>
      <c r="G73" s="387"/>
      <c r="H73" s="387"/>
      <c r="I73" s="387"/>
      <c r="J73" s="387"/>
      <c r="K73" s="387"/>
      <c r="L73" s="387"/>
      <c r="M73" s="387"/>
    </row>
    <row r="74" spans="1:13" hidden="1" x14ac:dyDescent="0.2">
      <c r="A74" s="387"/>
      <c r="B74" s="387"/>
      <c r="C74" s="387"/>
      <c r="D74" s="387"/>
      <c r="E74" s="387"/>
      <c r="F74" s="387"/>
      <c r="G74" s="387"/>
      <c r="H74" s="387"/>
      <c r="I74" s="387"/>
      <c r="J74" s="387"/>
      <c r="K74" s="387"/>
      <c r="L74" s="387"/>
      <c r="M74" s="387"/>
    </row>
    <row r="75" spans="1:13" hidden="1" x14ac:dyDescent="0.2">
      <c r="A75" s="387"/>
      <c r="B75" s="387"/>
      <c r="C75" s="387"/>
      <c r="D75" s="387"/>
      <c r="E75" s="387"/>
      <c r="F75" s="387"/>
      <c r="G75" s="387"/>
      <c r="H75" s="387"/>
      <c r="I75" s="387"/>
      <c r="J75" s="387"/>
      <c r="K75" s="387"/>
      <c r="L75" s="387"/>
      <c r="M75" s="387"/>
    </row>
    <row r="76" spans="1:13" hidden="1" x14ac:dyDescent="0.2">
      <c r="A76" s="387"/>
      <c r="B76" s="387"/>
      <c r="C76" s="387"/>
      <c r="D76" s="387"/>
      <c r="E76" s="387"/>
      <c r="F76" s="387"/>
      <c r="G76" s="387"/>
      <c r="H76" s="387"/>
      <c r="I76" s="387"/>
      <c r="J76" s="387"/>
      <c r="K76" s="387"/>
      <c r="L76" s="387"/>
      <c r="M76" s="387"/>
    </row>
    <row r="77" spans="1:13" hidden="1" x14ac:dyDescent="0.2">
      <c r="A77" s="387"/>
      <c r="B77" s="387"/>
      <c r="C77" s="387"/>
      <c r="D77" s="387"/>
      <c r="E77" s="387"/>
      <c r="F77" s="387"/>
      <c r="G77" s="387"/>
      <c r="H77" s="387"/>
      <c r="I77" s="387"/>
      <c r="J77" s="387"/>
      <c r="K77" s="387"/>
      <c r="L77" s="387"/>
      <c r="M77" s="387"/>
    </row>
    <row r="78" spans="1:13" hidden="1" x14ac:dyDescent="0.2">
      <c r="A78" s="387"/>
      <c r="B78" s="387"/>
      <c r="C78" s="387"/>
      <c r="D78" s="387"/>
      <c r="E78" s="387"/>
      <c r="F78" s="387"/>
      <c r="G78" s="387"/>
      <c r="H78" s="387"/>
      <c r="I78" s="387"/>
      <c r="J78" s="387"/>
      <c r="K78" s="387"/>
      <c r="L78" s="387"/>
      <c r="M78" s="387"/>
    </row>
    <row r="79" spans="1:13" hidden="1" x14ac:dyDescent="0.2">
      <c r="A79" s="387"/>
      <c r="B79" s="387"/>
      <c r="C79" s="387"/>
      <c r="D79" s="387"/>
      <c r="E79" s="387"/>
      <c r="F79" s="387"/>
      <c r="G79" s="387"/>
      <c r="H79" s="387"/>
      <c r="I79" s="387"/>
      <c r="J79" s="387"/>
      <c r="K79" s="387"/>
      <c r="L79" s="387"/>
      <c r="M79" s="387"/>
    </row>
    <row r="80" spans="1:13" hidden="1" x14ac:dyDescent="0.2">
      <c r="A80" s="387"/>
      <c r="B80" s="387"/>
      <c r="C80" s="387"/>
      <c r="D80" s="387"/>
      <c r="E80" s="387"/>
      <c r="F80" s="387"/>
      <c r="G80" s="387"/>
      <c r="H80" s="387"/>
      <c r="I80" s="387"/>
      <c r="J80" s="387"/>
      <c r="K80" s="387"/>
      <c r="L80" s="387"/>
      <c r="M80" s="387"/>
    </row>
    <row r="81" spans="1:13" hidden="1" x14ac:dyDescent="0.2">
      <c r="A81" s="387"/>
      <c r="B81" s="387"/>
      <c r="C81" s="387"/>
      <c r="D81" s="387"/>
      <c r="E81" s="387"/>
      <c r="F81" s="387"/>
      <c r="G81" s="387"/>
      <c r="H81" s="387"/>
      <c r="I81" s="387"/>
      <c r="J81" s="387"/>
      <c r="K81" s="387"/>
      <c r="L81" s="387"/>
      <c r="M81" s="387"/>
    </row>
    <row r="82" spans="1:13" hidden="1" x14ac:dyDescent="0.2">
      <c r="A82" s="387"/>
      <c r="B82" s="387"/>
      <c r="C82" s="387"/>
      <c r="D82" s="387"/>
      <c r="E82" s="387"/>
      <c r="F82" s="387"/>
      <c r="G82" s="387"/>
      <c r="H82" s="387"/>
      <c r="I82" s="387"/>
      <c r="J82" s="387"/>
      <c r="K82" s="387"/>
      <c r="L82" s="387"/>
      <c r="M82" s="387"/>
    </row>
    <row r="83" spans="1:13" hidden="1" x14ac:dyDescent="0.2">
      <c r="A83" s="387"/>
      <c r="B83" s="387"/>
      <c r="C83" s="387"/>
      <c r="D83" s="387"/>
      <c r="E83" s="387"/>
      <c r="F83" s="387"/>
      <c r="G83" s="387"/>
      <c r="H83" s="387"/>
      <c r="I83" s="387"/>
      <c r="J83" s="387"/>
      <c r="K83" s="387"/>
      <c r="L83" s="387"/>
      <c r="M83" s="387"/>
    </row>
    <row r="84" spans="1:13" hidden="1" x14ac:dyDescent="0.2">
      <c r="A84" s="387"/>
      <c r="B84" s="387"/>
      <c r="C84" s="387"/>
      <c r="D84" s="387"/>
      <c r="E84" s="387"/>
      <c r="F84" s="387"/>
      <c r="G84" s="387"/>
      <c r="H84" s="387"/>
      <c r="I84" s="387"/>
      <c r="J84" s="387"/>
      <c r="K84" s="387"/>
      <c r="L84" s="387"/>
      <c r="M84" s="387"/>
    </row>
  </sheetData>
  <sheetProtection algorithmName="SHA-512" hashValue="HF2wNRhrv6tSJlLqIwYaXkB7U1mEMlWpQ9Bq1ACbZs3QyEAKeCDSe8y72x4JhF7mX3AhxlEjiaOpmqImNLdvNw==" saltValue="pEk45y+PUxgeIQwSq5/uQg==" spinCount="100000" sheet="1" objects="1" scenarios="1" formatColumns="0" formatRows="0" autoFilter="0"/>
  <mergeCells count="18">
    <mergeCell ref="A59:F59"/>
    <mergeCell ref="A61:F61"/>
    <mergeCell ref="A64:F64"/>
    <mergeCell ref="A52:F52"/>
    <mergeCell ref="A68:F68"/>
    <mergeCell ref="A41:F41"/>
    <mergeCell ref="A1:F1"/>
    <mergeCell ref="A2:E2"/>
    <mergeCell ref="E36:F36"/>
    <mergeCell ref="E37:F37"/>
    <mergeCell ref="E38:F38"/>
    <mergeCell ref="E35:F35"/>
    <mergeCell ref="E34:F34"/>
    <mergeCell ref="E33:F33"/>
    <mergeCell ref="E32:F32"/>
    <mergeCell ref="E31:F31"/>
    <mergeCell ref="E30:F30"/>
    <mergeCell ref="E29:F29"/>
  </mergeCells>
  <conditionalFormatting sqref="A24:D24 A38:F38 A51:E51 A63:F64">
    <cfRule type="expression" dxfId="74" priority="3">
      <formula>$I24</formula>
    </cfRule>
  </conditionalFormatting>
  <conditionalFormatting sqref="A1:G9 A10 C10:G10 A11:G66">
    <cfRule type="expression" dxfId="73" priority="2">
      <formula>$I$1</formula>
    </cfRule>
  </conditionalFormatting>
  <conditionalFormatting sqref="B10">
    <cfRule type="expression" dxfId="72" priority="1">
      <formula>$I$1</formula>
    </cfRule>
  </conditionalFormatting>
  <conditionalFormatting sqref="B43:D51">
    <cfRule type="expression" dxfId="71" priority="4">
      <formula>J43</formula>
    </cfRule>
  </conditionalFormatting>
  <dataValidations count="27">
    <dataValidation type="list" allowBlank="1" showErrorMessage="1" promptTitle="UTM Zone" prompt="Enter the UTM Coordinates zone for the EPN &quot;Engine1&quot;. In Texas, this must be 13, 14, or 15." sqref="B8" xr:uid="{B3D059F3-04FE-4F0D-B95C-D681AAB201B2}">
      <formula1>"13,14,15"</formula1>
    </dataValidation>
    <dataValidation type="decimal" operator="lessThanOrEqual" allowBlank="1" showErrorMessage="1" promptTitle="Emission Factor" prompt="Enter the emission factor for volatile organic compounds (VOC), in grams per horsepower-hour. The pounds per hour (lb/hr) and tons per year (tpy) will automatically calculate in cells to the right." sqref="B35" xr:uid="{1C443903-20B1-4FE9-BF92-1E3E6C8CB3B3}">
      <formula1>100</formula1>
    </dataValidation>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9" xr:uid="{4C1AE107-0DBE-4DBF-BC6B-018D81ABA640}">
      <formula1>205000</formula1>
      <formula2>795000</formula2>
    </dataValidation>
    <dataValidation operator="greaterThanOrEqual" allowBlank="1" showErrorMessage="1" errorTitle="Maximum Value Exceeded" error="Please enter a value for this parameter below the maximum value." promptTitle="Input Parameters" prompt="Enter the rated brake horsepower (BHP) in horsepower (hp). Note that this value must be less than __." sqref="B18" xr:uid="{DB53D590-59EA-4BC7-9C46-9F3845519DDA}"/>
    <dataValidation type="decimal" operator="greaterThanOrEqual" allowBlank="1" showErrorMessage="1" errorTitle="Parameter Below Minimum Value" error="Please enter a value for this parameter that is larger than the minimum value." promptTitle="Input Parameters" prompt="Enter the release height of this EPN. This must be at least 25 feet." sqref="B14" xr:uid="{68738F76-ED92-4195-9892-B03E978BFCF4}">
      <formula1>C14</formula1>
    </dataValidation>
    <dataValidation type="decimal" operator="greaterThanOrEqual" allowBlank="1" showErrorMessage="1" errorTitle="Parameter Below Minimum Value" error="Please enter a value for this parameter that is larger than the minimum value." promptTitle="Imput Parameters" prompt="Enter the stack diameter. With this permit, the stack must be at least 0.66 feet wide." sqref="B15" xr:uid="{E1483A60-E166-4126-B374-66513940234D}">
      <formula1>C15</formula1>
    </dataValidation>
    <dataValidation type="decimal" operator="greaterThanOrEqual" allowBlank="1" showErrorMessage="1" errorTitle="Parameter Below Minimum Value" error="Please enter a value for this parameter that is larger than the minimum value." promptTitle="Input Parameters" prompt="Enter the Temperature in degrees Fahrenheit for this EPN. Note that this must be at least 828 degrees." sqref="B16" xr:uid="{0E6E1E60-C303-4666-8B0F-FE945A9BC32E}">
      <formula1>C16</formula1>
    </dataValidation>
    <dataValidation type="decimal" operator="greaterThanOrEqual" allowBlank="1" showErrorMessage="1" errorTitle="Parameter Below Minimum Value" error="Please enter a value for this parameter that is larger than the minimum value." promptTitle="Input Parameters" prompt="Enter the velocity of the emisions, in feet per second. Note that this value must be greater than 168.7 feet per second." sqref="B17" xr:uid="{273FA430-14F8-43E6-A56E-A6E5F7AA7D24}">
      <formula1>C17</formula1>
    </dataValidation>
    <dataValidation type="decimal" operator="lessThanOrEqual" allowBlank="1" showErrorMessage="1" errorTitle="Maximum Value Exceeded" error="Please enter a value for this parameter below the maximum value." promptTitle="Input Parameters" prompt="Enter the annual operating schedule in total hours per year. Note that this value must be below 300 hours per year." sqref="B25" xr:uid="{0BCBA786-1AAB-4E18-A5A6-95F0A54E770B}">
      <formula1>D25</formula1>
    </dataValidation>
    <dataValidation allowBlank="1" showErrorMessage="1" promptTitle="Source Name" prompt="Enter the Source Name for the engine." sqref="B7" xr:uid="{234F527C-97D7-4AD4-B86E-225A51347C3A}"/>
    <dataValidation type="decimal" operator="lessThanOrEqual" allowBlank="1" showErrorMessage="1" promptTitle="Emission Factor" prompt="Enter the emission factor for NOx, in grams per horsepower-hour. The pounds per hour (lb/hr) and tons per year (tpy) will automatically calculate in cells to the right." sqref="B30" xr:uid="{D3C5AF2E-977A-46E2-A212-4FB0895CD9B5}">
      <formula1>C43*453.6/$B$18</formula1>
    </dataValidation>
    <dataValidation type="decimal" operator="lessThanOrEqual" allowBlank="1" showErrorMessage="1" promptTitle="Emission Factor" prompt="Enter the emission factor for carbon monoxide, in grams per horsepower-hour. The pounds per hour (lb/hr) and tons per year (tpy) will automatically calculate in cells to the right." sqref="B31" xr:uid="{DB0C0100-D82B-40CC-89E8-95EBED097D33}">
      <formula1>C44*453.6/$B$18</formula1>
    </dataValidation>
    <dataValidation type="list" allowBlank="1" showInputMessage="1" showErrorMessage="1" sqref="D30:D35" xr:uid="{2CB5233F-694A-4502-854E-70638E8584DE}">
      <formula1>EngDDSource</formula1>
    </dataValidation>
    <dataValidation allowBlank="1" showErrorMessage="1" prompt="select source of emission factor" sqref="D36:D38" xr:uid="{39D9E283-3B55-4FC4-ABA2-1A92F5CF5EDF}"/>
    <dataValidation type="decimal" operator="lessThanOrEqual" allowBlank="1" showErrorMessage="1" promptTitle="Input Parameters" prompt="Enter the ammonia concentration in ppm." sqref="B24" xr:uid="{CC79D271-7900-4B87-B853-FA033FDAE540}">
      <formula1>10</formula1>
    </dataValidation>
    <dataValidation type="decimal" operator="lessThanOrEqual" allowBlank="1" showErrorMessage="1" promptTitle="Input Parameters" prompt="Enter the sulfur content of the diesel." sqref="B20" xr:uid="{9E80ADF3-66B3-4C5A-9CEF-70326786EE40}">
      <formula1>15</formula1>
    </dataValidation>
    <dataValidation type="list" allowBlank="1" showErrorMessage="1" promptTitle="Input Parameters" prompt="Is there a diesel filter? Select or enter yes or no." sqref="B23" xr:uid="{40B72AC0-B617-44A1-85C1-053DB35854D2}">
      <formula1>"Yes,No"</formula1>
    </dataValidation>
    <dataValidation type="list" allowBlank="1" showErrorMessage="1" promptTitle="Input Parameters" prompt="Is there an oxidation catalyst? Select or enter yes or no." sqref="B22" xr:uid="{F0B26B72-69B3-4426-92DC-E463E38D7E55}">
      <formula1>"Yes,No"</formula1>
    </dataValidation>
    <dataValidation type="decimal" operator="greaterThanOrEqual" allowBlank="1" showErrorMessage="1" errorTitle="Maximum Value Exceeded" error="Please enter a value for this parameter below the maximum value." prompt="Exhaust gas flow rate is deteremined by input parameters." sqref="B26" xr:uid="{012B33A1-765C-4256-9EA5-995291B44647}">
      <formula1>0</formula1>
    </dataValidation>
    <dataValidation type="list" allowBlank="1" showErrorMessage="1" promptTitle="Input Parameters" prompt="Is there a selective catalytic reduction (SCR) system for this engine? Select or enter yes or no." sqref="B21" xr:uid="{7F1041B7-DEE4-4E15-A260-F5309961029E}">
      <formula1>"Yes,No"</formula1>
    </dataValidation>
    <dataValidation operator="lessThanOrEqual" allowBlank="1" showErrorMessage="1" promptTitle="Emission Factor" prompt="Enter the emission factor for particulate matter with diameters 2.5 microns or less (PM2.5), in grams per horsepower-hour. The pounds per hour (lb/hr) and tons per year (tpy) will automatically calculate in cells to the right." sqref="B34" xr:uid="{DC80D7B6-16A7-45A4-9BC2-ED838DCEEF8C}"/>
    <dataValidation operator="lessThanOrEqual" allowBlank="1" showErrorMessage="1" promptTitle="Emission Factor" prompt="Enter the emission factor for particulate matter with diameters 10 microns or less (PM10), in grams per horsepower-hour. The pounds per hour (lb/hr) and tons per year (tpy) will automatically calculate in cells to the right." sqref="B33" xr:uid="{BE50B826-2795-4E36-B135-61746D75C693}"/>
    <dataValidation operator="lessThanOrEqual" allowBlank="1" showErrorMessage="1" promptTitle="Emission Factor" prompt="Enter the emission factor for particulate matter (PM), in grams per horsepower-hour. The pounds per hour (lb/hr) and tons per year (tpy) will automatically calculate in cells to the right." sqref="B32" xr:uid="{3C72D79B-9B67-4C2D-BE1A-E5DFF993C929}"/>
    <dataValidation allowBlank="1" showErrorMessage="1" prompt="This cell intentionally left blank for internal comments. All internal comments must be submitted prior to application submittal." sqref="G3:G66 F41" xr:uid="{9EF453AA-BBB4-47BC-9272-0DCC1DDDD0E1}"/>
    <dataValidation type="textLength" allowBlank="1" showErrorMessage="1" promptTitle="FIN" prompt="Input the Facility Identification Number for the engine.  Limited to 10 alphanumeric characters." sqref="B6" xr:uid="{CCD3BBDC-3DB7-4E21-B9F1-2AA3A01BF577}">
      <formula1>0</formula1>
      <formula2>10</formula2>
    </dataValidation>
    <dataValidation type="decimal" operator="greaterThanOrEqual" allowBlank="1" showErrorMessage="1" errorTitle="Maximum Value Exceeded" error="Please enter a value for this parameter below the maximum value." promptTitle="Input Parameters" prompt="Enter the fuel consumption rate, in pounds of diesel per horsepower-hour._x000a_" sqref="B19" xr:uid="{2144FA21-4BC1-4C48-BA55-2FE8D83972C8}">
      <formula1>0</formula1>
    </dataValidation>
    <dataValidation type="decimal" allowBlank="1" showErrorMessage="1" errorTitle="North (Meters)" error="Enter a value between 2854000 and 4059000 meters." promptTitle="UTM North" prompt="Enter the distance north of the zone datum for this EPN, in meters. This is a six-digit number between 2854000 and 4059000." sqref="B10" xr:uid="{576DB602-9A3E-48F2-8BA3-BD1970E6CC91}">
      <formula1>2854000</formula1>
      <formula2>4059000</formula2>
    </dataValidation>
  </dataValidations>
  <printOptions horizontalCentered="1"/>
  <pageMargins left="0.25" right="0.25" top="0.57395833333333302" bottom="0.61354166666666698" header="0.3" footer="0.3"/>
  <pageSetup scale="73" orientation="portrait" r:id="rId1"/>
  <headerFooter>
    <oddHeader>&amp;C&amp;"Arial,Regular"Engine Power Generation RAP Application</oddHeader>
    <oddFooter>&amp;L&amp;"Arial,Regular"Version: 1.0&amp;C&amp;"Arial,Regular"Sheet: &amp;A&amp;R&amp;"Arial,Regular"Page &amp;P</oddFooter>
  </headerFooter>
  <rowBreaks count="1" manualBreakCount="1">
    <brk id="52" max="16383" man="1"/>
  </rowBreaks>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F16FA-4D15-4E0A-A597-FD5370BABDAA}">
  <sheetPr codeName="Sheet9">
    <tabColor rgb="FFFFFFCC"/>
  </sheetPr>
  <dimension ref="A1:N84"/>
  <sheetViews>
    <sheetView showGridLines="0" zoomScaleNormal="100" workbookViewId="0">
      <selection sqref="A1:F1"/>
    </sheetView>
  </sheetViews>
  <sheetFormatPr defaultColWidth="0" defaultRowHeight="14.25" zeroHeight="1" x14ac:dyDescent="0.2"/>
  <cols>
    <col min="1" max="1" width="34.125" style="2" customWidth="1"/>
    <col min="2" max="3" width="14.375" style="2" customWidth="1"/>
    <col min="4" max="4" width="16.375" style="2" customWidth="1"/>
    <col min="5" max="5" width="18.5" style="2" customWidth="1"/>
    <col min="6" max="6" width="27.125" style="2" customWidth="1"/>
    <col min="7" max="7" width="40.625" style="2" customWidth="1"/>
    <col min="8" max="8" width="2.625" style="2" customWidth="1"/>
    <col min="9" max="16384" width="9" style="2" hidden="1"/>
  </cols>
  <sheetData>
    <row r="1" spans="1:13" ht="18.75" thickBot="1" x14ac:dyDescent="0.25">
      <c r="A1" s="861" t="s">
        <v>277</v>
      </c>
      <c r="B1" s="862"/>
      <c r="C1" s="862"/>
      <c r="D1" s="862"/>
      <c r="E1" s="862"/>
      <c r="F1" s="863"/>
      <c r="G1" s="133" t="s">
        <v>60</v>
      </c>
      <c r="H1" s="387"/>
      <c r="I1" s="387" t="b">
        <f>'PI-1-PowerEngine'!$B$78&lt;4</f>
        <v>1</v>
      </c>
      <c r="J1" s="387"/>
      <c r="K1" s="387"/>
      <c r="L1" s="387"/>
      <c r="M1" s="387"/>
    </row>
    <row r="2" spans="1:13" ht="61.5" customHeight="1" thickBot="1" x14ac:dyDescent="0.25">
      <c r="A2" s="880" t="s">
        <v>215</v>
      </c>
      <c r="B2" s="853"/>
      <c r="C2" s="853"/>
      <c r="D2" s="853"/>
      <c r="E2" s="853"/>
      <c r="F2" s="284"/>
      <c r="G2" s="64" t="s">
        <v>63</v>
      </c>
      <c r="H2" s="387"/>
      <c r="I2" s="387"/>
      <c r="J2" s="387"/>
      <c r="K2" s="387"/>
      <c r="L2" s="387"/>
      <c r="M2" s="387"/>
    </row>
    <row r="3" spans="1:13" ht="15" customHeight="1" thickBot="1" x14ac:dyDescent="0.25">
      <c r="A3" s="314" t="s">
        <v>4</v>
      </c>
      <c r="B3" s="97"/>
      <c r="C3" s="97"/>
      <c r="D3" s="97"/>
      <c r="E3" s="97"/>
      <c r="F3" s="97"/>
      <c r="G3" s="138"/>
      <c r="H3" s="387"/>
      <c r="I3" s="387"/>
      <c r="J3" s="387"/>
      <c r="K3" s="387"/>
      <c r="L3" s="387"/>
      <c r="M3" s="387"/>
    </row>
    <row r="4" spans="1:13" ht="17.100000000000001" customHeight="1" thickBot="1" x14ac:dyDescent="0.25">
      <c r="A4" s="171" t="s">
        <v>167</v>
      </c>
      <c r="B4" s="172"/>
      <c r="C4" s="172"/>
      <c r="D4" s="172"/>
      <c r="E4" s="172"/>
      <c r="F4" s="286"/>
      <c r="G4" s="139"/>
      <c r="H4" s="387"/>
      <c r="I4" s="387"/>
      <c r="J4" s="387"/>
      <c r="K4" s="387"/>
      <c r="L4" s="387"/>
      <c r="M4" s="387"/>
    </row>
    <row r="5" spans="1:13" ht="17.100000000000001" customHeight="1" x14ac:dyDescent="0.2">
      <c r="A5" s="295" t="s">
        <v>72</v>
      </c>
      <c r="B5" s="227" t="s">
        <v>73</v>
      </c>
      <c r="C5" s="228"/>
      <c r="D5" s="196"/>
      <c r="E5" s="196"/>
      <c r="F5" s="296"/>
      <c r="G5" s="139"/>
      <c r="H5" s="387"/>
      <c r="I5" s="387"/>
      <c r="J5" s="387"/>
      <c r="K5" s="387"/>
      <c r="L5" s="387"/>
      <c r="M5" s="387"/>
    </row>
    <row r="6" spans="1:13" ht="15" customHeight="1" x14ac:dyDescent="0.2">
      <c r="A6" s="388" t="s">
        <v>216</v>
      </c>
      <c r="B6" s="224"/>
      <c r="C6" s="229"/>
      <c r="D6" s="389"/>
      <c r="E6" s="389"/>
      <c r="F6" s="390"/>
      <c r="G6" s="139"/>
      <c r="H6" s="387"/>
      <c r="I6" s="387"/>
      <c r="J6" s="387"/>
      <c r="K6" s="387"/>
      <c r="L6" s="387"/>
      <c r="M6" s="387"/>
    </row>
    <row r="7" spans="1:13" ht="15" customHeight="1" x14ac:dyDescent="0.2">
      <c r="A7" s="257" t="s">
        <v>217</v>
      </c>
      <c r="B7" s="391"/>
      <c r="C7" s="389"/>
      <c r="D7" s="389"/>
      <c r="E7" s="389"/>
      <c r="F7" s="390"/>
      <c r="G7" s="139"/>
      <c r="H7" s="387"/>
      <c r="I7" s="387"/>
      <c r="J7" s="387"/>
      <c r="K7" s="387"/>
      <c r="L7" s="387"/>
      <c r="M7" s="387"/>
    </row>
    <row r="8" spans="1:13" ht="15" customHeight="1" x14ac:dyDescent="0.2">
      <c r="A8" s="369" t="s">
        <v>218</v>
      </c>
      <c r="B8" s="391"/>
      <c r="C8" s="389"/>
      <c r="D8" s="389"/>
      <c r="E8" s="389"/>
      <c r="F8" s="390"/>
      <c r="G8" s="139"/>
      <c r="H8" s="387"/>
      <c r="I8" s="387"/>
      <c r="J8" s="387"/>
      <c r="K8" s="387"/>
      <c r="L8" s="387"/>
      <c r="M8" s="387"/>
    </row>
    <row r="9" spans="1:13" ht="15" customHeight="1" x14ac:dyDescent="0.2">
      <c r="A9" s="369" t="s">
        <v>219</v>
      </c>
      <c r="B9" s="174"/>
      <c r="C9" s="389"/>
      <c r="D9" s="389"/>
      <c r="E9" s="389"/>
      <c r="F9" s="390"/>
      <c r="G9" s="139"/>
      <c r="H9" s="387"/>
      <c r="I9" s="387"/>
      <c r="J9" s="387"/>
      <c r="K9" s="387"/>
      <c r="L9" s="387"/>
      <c r="M9" s="387"/>
    </row>
    <row r="10" spans="1:13" ht="15" thickBot="1" x14ac:dyDescent="0.25">
      <c r="A10" s="258" t="s">
        <v>220</v>
      </c>
      <c r="B10" s="300"/>
      <c r="C10" s="416"/>
      <c r="D10" s="416"/>
      <c r="E10" s="416"/>
      <c r="F10" s="417"/>
      <c r="G10" s="139"/>
      <c r="H10" s="387"/>
      <c r="I10" s="387"/>
      <c r="J10" s="387"/>
      <c r="K10" s="387"/>
      <c r="L10" s="387"/>
      <c r="M10" s="387"/>
    </row>
    <row r="11" spans="1:13" ht="15" customHeight="1" thickBot="1" x14ac:dyDescent="0.25">
      <c r="A11" s="85"/>
      <c r="B11" s="318" t="s">
        <v>4</v>
      </c>
      <c r="C11" s="85"/>
      <c r="D11" s="85"/>
      <c r="E11" s="85"/>
      <c r="F11" s="85"/>
      <c r="G11" s="139"/>
      <c r="H11" s="387"/>
      <c r="I11" s="387"/>
      <c r="J11" s="387"/>
      <c r="K11" s="387"/>
      <c r="L11" s="387"/>
      <c r="M11" s="387"/>
    </row>
    <row r="12" spans="1:13" ht="17.100000000000001" customHeight="1" thickBot="1" x14ac:dyDescent="0.25">
      <c r="A12" s="171" t="s">
        <v>221</v>
      </c>
      <c r="B12" s="172"/>
      <c r="C12" s="172"/>
      <c r="D12" s="172"/>
      <c r="E12" s="172"/>
      <c r="F12" s="286"/>
      <c r="G12" s="139"/>
      <c r="H12" s="387"/>
      <c r="I12" s="387"/>
      <c r="J12" s="387"/>
      <c r="K12" s="387"/>
      <c r="L12" s="387"/>
      <c r="M12" s="387"/>
    </row>
    <row r="13" spans="1:13" ht="15" customHeight="1" x14ac:dyDescent="0.2">
      <c r="A13" s="301" t="s">
        <v>222</v>
      </c>
      <c r="B13" s="221" t="s">
        <v>223</v>
      </c>
      <c r="C13" s="221" t="s">
        <v>224</v>
      </c>
      <c r="D13" s="222" t="s">
        <v>225</v>
      </c>
      <c r="E13" s="209"/>
      <c r="F13" s="345"/>
      <c r="G13" s="139"/>
      <c r="H13" s="387"/>
      <c r="I13" s="387"/>
      <c r="J13" s="387"/>
      <c r="K13" s="387"/>
      <c r="L13" s="387"/>
      <c r="M13" s="387"/>
    </row>
    <row r="14" spans="1:13" ht="15" customHeight="1" x14ac:dyDescent="0.2">
      <c r="A14" s="369" t="s">
        <v>226</v>
      </c>
      <c r="B14" s="391"/>
      <c r="C14" s="392">
        <v>25</v>
      </c>
      <c r="D14" s="393" t="s">
        <v>855</v>
      </c>
      <c r="E14" s="394"/>
      <c r="F14" s="395"/>
      <c r="G14" s="139"/>
      <c r="H14" s="387"/>
      <c r="I14" s="387"/>
      <c r="J14" s="387"/>
      <c r="K14" s="387"/>
      <c r="L14" s="387"/>
      <c r="M14" s="387"/>
    </row>
    <row r="15" spans="1:13" ht="15" customHeight="1" x14ac:dyDescent="0.2">
      <c r="A15" s="369" t="s">
        <v>227</v>
      </c>
      <c r="B15" s="391"/>
      <c r="C15" s="392">
        <v>0.66</v>
      </c>
      <c r="D15" s="393" t="s">
        <v>855</v>
      </c>
      <c r="E15" s="394"/>
      <c r="F15" s="395"/>
      <c r="G15" s="139"/>
      <c r="H15" s="387"/>
      <c r="I15" s="387"/>
      <c r="J15" s="387"/>
      <c r="K15" s="387"/>
      <c r="L15" s="387"/>
      <c r="M15" s="387"/>
    </row>
    <row r="16" spans="1:13" ht="15" customHeight="1" x14ac:dyDescent="0.2">
      <c r="A16" s="369" t="s">
        <v>228</v>
      </c>
      <c r="B16" s="396"/>
      <c r="C16" s="392">
        <v>828</v>
      </c>
      <c r="D16" s="393" t="s">
        <v>855</v>
      </c>
      <c r="E16" s="394"/>
      <c r="F16" s="395"/>
      <c r="G16" s="139"/>
      <c r="H16" s="387"/>
      <c r="I16" s="387"/>
      <c r="J16" s="387"/>
      <c r="K16" s="387"/>
      <c r="L16" s="387"/>
      <c r="M16" s="387"/>
    </row>
    <row r="17" spans="1:14" ht="15" customHeight="1" x14ac:dyDescent="0.2">
      <c r="A17" s="369" t="s">
        <v>229</v>
      </c>
      <c r="B17" s="391"/>
      <c r="C17" s="392">
        <v>168.7</v>
      </c>
      <c r="D17" s="393" t="s">
        <v>855</v>
      </c>
      <c r="E17" s="394"/>
      <c r="F17" s="395"/>
      <c r="G17" s="139"/>
      <c r="H17" s="387"/>
      <c r="I17" s="387"/>
      <c r="J17" s="387"/>
      <c r="K17" s="387"/>
      <c r="L17" s="387"/>
      <c r="M17" s="387"/>
      <c r="N17" s="397"/>
    </row>
    <row r="18" spans="1:14" ht="15" customHeight="1" x14ac:dyDescent="0.2">
      <c r="A18" s="282" t="s">
        <v>230</v>
      </c>
      <c r="B18" s="396"/>
      <c r="C18" s="392" t="s">
        <v>855</v>
      </c>
      <c r="D18" s="393" t="s">
        <v>855</v>
      </c>
      <c r="E18" s="394"/>
      <c r="F18" s="395"/>
      <c r="G18" s="139"/>
      <c r="H18" s="387"/>
      <c r="I18" s="387"/>
      <c r="J18" s="387"/>
      <c r="K18" s="387"/>
      <c r="L18" s="387"/>
      <c r="M18" s="387"/>
      <c r="N18" s="387"/>
    </row>
    <row r="19" spans="1:14" ht="15" customHeight="1" x14ac:dyDescent="0.2">
      <c r="A19" s="369" t="s">
        <v>231</v>
      </c>
      <c r="B19" s="391"/>
      <c r="C19" s="392" t="s">
        <v>855</v>
      </c>
      <c r="D19" s="393" t="s">
        <v>855</v>
      </c>
      <c r="E19" s="394"/>
      <c r="F19" s="395"/>
      <c r="G19" s="139"/>
      <c r="H19" s="387"/>
      <c r="I19" s="387"/>
      <c r="J19" s="387"/>
      <c r="K19" s="387"/>
      <c r="L19" s="387"/>
      <c r="M19" s="387"/>
      <c r="N19" s="387"/>
    </row>
    <row r="20" spans="1:14" ht="15" customHeight="1" x14ac:dyDescent="0.2">
      <c r="A20" s="369" t="s">
        <v>232</v>
      </c>
      <c r="B20" s="159"/>
      <c r="C20" s="392" t="s">
        <v>855</v>
      </c>
      <c r="D20" s="393">
        <v>15</v>
      </c>
      <c r="E20" s="394"/>
      <c r="F20" s="395"/>
      <c r="G20" s="139"/>
      <c r="H20" s="387"/>
      <c r="I20" s="387"/>
      <c r="J20" s="387"/>
      <c r="K20" s="387"/>
      <c r="L20" s="387"/>
      <c r="M20" s="387"/>
      <c r="N20" s="387"/>
    </row>
    <row r="21" spans="1:14" ht="31.5" customHeight="1" x14ac:dyDescent="0.2">
      <c r="A21" s="398" t="s">
        <v>233</v>
      </c>
      <c r="B21" s="159"/>
      <c r="C21" s="392" t="s">
        <v>855</v>
      </c>
      <c r="D21" s="393" t="s">
        <v>855</v>
      </c>
      <c r="E21" s="394"/>
      <c r="F21" s="395"/>
      <c r="G21" s="139"/>
      <c r="H21" s="387"/>
      <c r="I21" s="387"/>
      <c r="J21" s="387"/>
      <c r="K21" s="387"/>
      <c r="L21" s="387"/>
      <c r="M21" s="387"/>
      <c r="N21" s="387"/>
    </row>
    <row r="22" spans="1:14" ht="15" customHeight="1" x14ac:dyDescent="0.2">
      <c r="A22" s="398" t="s">
        <v>234</v>
      </c>
      <c r="B22" s="159"/>
      <c r="C22" s="392" t="s">
        <v>855</v>
      </c>
      <c r="D22" s="393" t="s">
        <v>855</v>
      </c>
      <c r="E22" s="394"/>
      <c r="F22" s="395"/>
      <c r="G22" s="139"/>
      <c r="H22" s="387"/>
      <c r="I22" s="387"/>
      <c r="J22" s="387"/>
      <c r="K22" s="387"/>
      <c r="L22" s="387"/>
      <c r="M22" s="387"/>
      <c r="N22" s="387"/>
    </row>
    <row r="23" spans="1:14" ht="15" customHeight="1" x14ac:dyDescent="0.2">
      <c r="A23" s="398" t="s">
        <v>235</v>
      </c>
      <c r="B23" s="159"/>
      <c r="C23" s="392" t="s">
        <v>855</v>
      </c>
      <c r="D23" s="393" t="s">
        <v>855</v>
      </c>
      <c r="E23" s="394"/>
      <c r="F23" s="395"/>
      <c r="G23" s="139"/>
      <c r="H23" s="387"/>
      <c r="I23" s="387"/>
      <c r="J23" s="387"/>
      <c r="K23" s="387"/>
      <c r="L23" s="387"/>
      <c r="M23" s="387"/>
      <c r="N23" s="387"/>
    </row>
    <row r="24" spans="1:14" ht="15" customHeight="1" x14ac:dyDescent="0.2">
      <c r="A24" s="369" t="s">
        <v>236</v>
      </c>
      <c r="B24" s="159"/>
      <c r="C24" s="392" t="s">
        <v>855</v>
      </c>
      <c r="D24" s="393">
        <v>10</v>
      </c>
      <c r="E24" s="394"/>
      <c r="F24" s="395"/>
      <c r="G24" s="139"/>
      <c r="H24" s="387"/>
      <c r="I24" s="387" t="b">
        <f>$B$21="NO"</f>
        <v>0</v>
      </c>
      <c r="J24" s="387"/>
      <c r="K24" s="387"/>
      <c r="L24" s="387"/>
      <c r="M24" s="387"/>
      <c r="N24" s="387"/>
    </row>
    <row r="25" spans="1:14" ht="15" customHeight="1" x14ac:dyDescent="0.2">
      <c r="A25" s="369" t="s">
        <v>237</v>
      </c>
      <c r="B25" s="159"/>
      <c r="C25" s="392" t="s">
        <v>855</v>
      </c>
      <c r="D25" s="393">
        <v>300</v>
      </c>
      <c r="E25" s="394"/>
      <c r="F25" s="395"/>
      <c r="G25" s="139"/>
      <c r="H25" s="387"/>
      <c r="I25" s="387"/>
      <c r="J25" s="387"/>
      <c r="K25" s="387"/>
      <c r="L25" s="387"/>
      <c r="M25" s="387"/>
      <c r="N25" s="387"/>
    </row>
    <row r="26" spans="1:14" ht="15" customHeight="1" thickBot="1" x14ac:dyDescent="0.25">
      <c r="A26" s="283" t="s">
        <v>275</v>
      </c>
      <c r="B26" s="285">
        <f>B17*60*PI()/4*B15^2*(459.67+60)/(459.67+B16)</f>
        <v>0</v>
      </c>
      <c r="C26" s="399" t="s">
        <v>855</v>
      </c>
      <c r="D26" s="400" t="s">
        <v>855</v>
      </c>
      <c r="E26" s="401"/>
      <c r="F26" s="402"/>
      <c r="G26" s="139"/>
      <c r="H26" s="387"/>
      <c r="I26" s="387"/>
      <c r="J26" s="387"/>
      <c r="K26" s="387"/>
      <c r="L26" s="387"/>
      <c r="M26" s="387"/>
      <c r="N26" s="387"/>
    </row>
    <row r="27" spans="1:14" ht="15" customHeight="1" thickBot="1" x14ac:dyDescent="0.25">
      <c r="A27" s="403"/>
      <c r="B27" s="389"/>
      <c r="C27" s="389"/>
      <c r="D27" s="389"/>
      <c r="E27" s="387"/>
      <c r="F27" s="387"/>
      <c r="G27" s="139"/>
      <c r="H27" s="387"/>
      <c r="I27" s="387"/>
      <c r="J27" s="387"/>
      <c r="K27" s="387"/>
      <c r="L27" s="387"/>
      <c r="M27" s="387"/>
      <c r="N27" s="387"/>
    </row>
    <row r="28" spans="1:14" ht="15" customHeight="1" thickBot="1" x14ac:dyDescent="0.25">
      <c r="A28" s="160" t="s">
        <v>239</v>
      </c>
      <c r="B28" s="161"/>
      <c r="C28" s="161"/>
      <c r="D28" s="161"/>
      <c r="E28" s="161"/>
      <c r="F28" s="286"/>
      <c r="G28" s="139"/>
      <c r="H28" s="387"/>
      <c r="I28" s="387"/>
      <c r="J28" s="387"/>
      <c r="K28" s="387"/>
      <c r="L28" s="387"/>
      <c r="M28" s="387"/>
      <c r="N28" s="387"/>
    </row>
    <row r="29" spans="1:14" ht="15" x14ac:dyDescent="0.2">
      <c r="A29" s="225" t="s">
        <v>240</v>
      </c>
      <c r="B29" s="63" t="s">
        <v>241</v>
      </c>
      <c r="C29" s="221" t="s">
        <v>242</v>
      </c>
      <c r="D29" s="357" t="s">
        <v>243</v>
      </c>
      <c r="E29" s="882" t="s">
        <v>244</v>
      </c>
      <c r="F29" s="867"/>
      <c r="G29" s="139"/>
      <c r="H29" s="387"/>
      <c r="I29" s="387"/>
      <c r="J29" s="387"/>
      <c r="K29" s="387"/>
      <c r="L29" s="387"/>
      <c r="M29" s="387"/>
      <c r="N29" s="387"/>
    </row>
    <row r="30" spans="1:14" x14ac:dyDescent="0.2">
      <c r="A30" s="334" t="s">
        <v>245</v>
      </c>
      <c r="B30" s="404"/>
      <c r="C30" s="392" t="s">
        <v>246</v>
      </c>
      <c r="D30" s="355"/>
      <c r="E30" s="881" t="str">
        <f>IFERROR(INDEX(Reference!$AQ$14:$AQ$17,MATCH(D30,EngDDSource,0)),"")</f>
        <v/>
      </c>
      <c r="F30" s="865"/>
      <c r="G30" s="139"/>
      <c r="H30" s="387"/>
      <c r="I30" s="387"/>
      <c r="J30" s="387"/>
      <c r="K30" s="387"/>
      <c r="L30" s="387"/>
      <c r="M30" s="387"/>
      <c r="N30" s="387"/>
    </row>
    <row r="31" spans="1:14" x14ac:dyDescent="0.2">
      <c r="A31" s="334" t="s">
        <v>247</v>
      </c>
      <c r="B31" s="404"/>
      <c r="C31" s="392" t="s">
        <v>246</v>
      </c>
      <c r="D31" s="355"/>
      <c r="E31" s="881" t="str">
        <f>IFERROR(INDEX(Reference!$AQ$14:$AQ$17,MATCH(D31,EngDDSource,0)),"")</f>
        <v/>
      </c>
      <c r="F31" s="865"/>
      <c r="G31" s="139"/>
      <c r="H31" s="387"/>
      <c r="I31" s="387"/>
      <c r="J31" s="387"/>
      <c r="K31" s="387"/>
      <c r="L31" s="387"/>
      <c r="M31" s="387"/>
      <c r="N31" s="387"/>
    </row>
    <row r="32" spans="1:14" x14ac:dyDescent="0.2">
      <c r="A32" s="334" t="s">
        <v>248</v>
      </c>
      <c r="B32" s="153"/>
      <c r="C32" s="392" t="s">
        <v>246</v>
      </c>
      <c r="D32" s="355"/>
      <c r="E32" s="881" t="str">
        <f>IFERROR(INDEX(Reference!$AQ$14:$AQ$17,MATCH(D32,EngDDSource,0)),"")</f>
        <v/>
      </c>
      <c r="F32" s="865"/>
      <c r="G32" s="139"/>
      <c r="H32" s="387"/>
      <c r="I32" s="387"/>
      <c r="J32" s="387"/>
      <c r="K32" s="387"/>
      <c r="L32" s="387"/>
      <c r="M32" s="387"/>
      <c r="N32" s="387"/>
    </row>
    <row r="33" spans="1:13" x14ac:dyDescent="0.2">
      <c r="A33" s="334" t="s">
        <v>249</v>
      </c>
      <c r="B33" s="153"/>
      <c r="C33" s="392" t="s">
        <v>246</v>
      </c>
      <c r="D33" s="355"/>
      <c r="E33" s="881" t="str">
        <f>IFERROR(INDEX(Reference!$AQ$14:$AQ$17,MATCH(D33,EngDDSource,0)),"")</f>
        <v/>
      </c>
      <c r="F33" s="865"/>
      <c r="G33" s="139"/>
      <c r="H33" s="387"/>
      <c r="I33" s="387"/>
      <c r="J33" s="387"/>
      <c r="K33" s="387"/>
      <c r="L33" s="387"/>
      <c r="M33" s="387"/>
    </row>
    <row r="34" spans="1:13" x14ac:dyDescent="0.2">
      <c r="A34" s="334" t="s">
        <v>250</v>
      </c>
      <c r="B34" s="153"/>
      <c r="C34" s="392" t="s">
        <v>246</v>
      </c>
      <c r="D34" s="355"/>
      <c r="E34" s="881" t="str">
        <f>IFERROR(INDEX(Reference!$AQ$14:$AQ$17,MATCH(D34,EngDDSource,0)),"")</f>
        <v/>
      </c>
      <c r="F34" s="865"/>
      <c r="G34" s="139"/>
      <c r="H34" s="387"/>
      <c r="I34" s="387"/>
      <c r="J34" s="387"/>
      <c r="K34" s="387"/>
      <c r="L34" s="387"/>
      <c r="M34" s="387"/>
    </row>
    <row r="35" spans="1:13" x14ac:dyDescent="0.2">
      <c r="A35" s="334" t="s">
        <v>251</v>
      </c>
      <c r="B35" s="404"/>
      <c r="C35" s="392" t="s">
        <v>246</v>
      </c>
      <c r="D35" s="355"/>
      <c r="E35" s="881" t="str">
        <f>IFERROR(INDEX(Reference!$AQ$14:$AQ$17,MATCH(D35,EngDDSource,0)),"")</f>
        <v/>
      </c>
      <c r="F35" s="865"/>
      <c r="G35" s="139"/>
      <c r="H35" s="387"/>
      <c r="I35" s="387"/>
      <c r="J35" s="387"/>
      <c r="K35" s="387"/>
      <c r="L35" s="387"/>
      <c r="M35" s="387"/>
    </row>
    <row r="36" spans="1:13" ht="33.75" customHeight="1" x14ac:dyDescent="0.2">
      <c r="A36" s="334" t="s">
        <v>252</v>
      </c>
      <c r="B36" s="155" t="s">
        <v>855</v>
      </c>
      <c r="C36" s="392" t="s">
        <v>855</v>
      </c>
      <c r="D36" s="356" t="s">
        <v>253</v>
      </c>
      <c r="E36" s="881" t="s">
        <v>254</v>
      </c>
      <c r="F36" s="865"/>
      <c r="G36" s="139"/>
      <c r="H36" s="387"/>
      <c r="I36" s="387"/>
      <c r="J36" s="387"/>
      <c r="K36" s="387"/>
      <c r="L36" s="387"/>
      <c r="M36" s="387"/>
    </row>
    <row r="37" spans="1:13" ht="33.75" customHeight="1" x14ac:dyDescent="0.2">
      <c r="A37" s="334" t="s">
        <v>255</v>
      </c>
      <c r="B37" s="155" t="s">
        <v>855</v>
      </c>
      <c r="C37" s="392" t="s">
        <v>855</v>
      </c>
      <c r="D37" s="356" t="s">
        <v>253</v>
      </c>
      <c r="E37" s="881" t="s">
        <v>256</v>
      </c>
      <c r="F37" s="865"/>
      <c r="G37" s="139"/>
      <c r="H37" s="387"/>
      <c r="I37" s="387"/>
      <c r="J37" s="387"/>
      <c r="K37" s="387"/>
      <c r="L37" s="387"/>
      <c r="M37" s="387"/>
    </row>
    <row r="38" spans="1:13" ht="33.75" customHeight="1" thickBot="1" x14ac:dyDescent="0.25">
      <c r="A38" s="337" t="s">
        <v>257</v>
      </c>
      <c r="B38" s="341" t="s">
        <v>855</v>
      </c>
      <c r="C38" s="341" t="s">
        <v>855</v>
      </c>
      <c r="D38" s="358" t="s">
        <v>253</v>
      </c>
      <c r="E38" s="876" t="s">
        <v>258</v>
      </c>
      <c r="F38" s="877"/>
      <c r="G38" s="139"/>
      <c r="H38" s="387"/>
      <c r="I38" s="387" t="b">
        <f>$I$24</f>
        <v>0</v>
      </c>
      <c r="J38" s="387"/>
      <c r="K38" s="387"/>
      <c r="L38" s="387"/>
      <c r="M38" s="387"/>
    </row>
    <row r="39" spans="1:13" ht="15" customHeight="1" thickBot="1" x14ac:dyDescent="0.25">
      <c r="A39" s="403"/>
      <c r="B39" s="389"/>
      <c r="C39" s="389"/>
      <c r="D39" s="389"/>
      <c r="E39" s="387"/>
      <c r="F39" s="387"/>
      <c r="G39" s="139"/>
      <c r="H39" s="387"/>
      <c r="I39" s="387"/>
      <c r="J39" s="387"/>
      <c r="K39" s="387"/>
      <c r="L39" s="387"/>
      <c r="M39" s="387"/>
    </row>
    <row r="40" spans="1:13" ht="17.100000000000001" customHeight="1" thickBot="1" x14ac:dyDescent="0.25">
      <c r="A40" s="160" t="s">
        <v>259</v>
      </c>
      <c r="B40" s="161"/>
      <c r="C40" s="161"/>
      <c r="D40" s="161"/>
      <c r="E40" s="161"/>
      <c r="F40" s="286"/>
      <c r="G40" s="139"/>
      <c r="H40" s="387"/>
      <c r="I40" s="387"/>
      <c r="J40" s="387"/>
      <c r="K40" s="387"/>
      <c r="L40" s="387"/>
      <c r="M40" s="387"/>
    </row>
    <row r="41" spans="1:13" ht="46.5" customHeight="1" x14ac:dyDescent="0.2">
      <c r="A41" s="733" t="s">
        <v>260</v>
      </c>
      <c r="B41" s="842"/>
      <c r="C41" s="842"/>
      <c r="D41" s="842"/>
      <c r="E41" s="842"/>
      <c r="F41" s="868"/>
      <c r="G41" s="139"/>
      <c r="H41" s="387"/>
      <c r="I41" s="387"/>
      <c r="J41" s="387"/>
      <c r="K41" s="387"/>
      <c r="L41" s="387"/>
      <c r="M41" s="387"/>
    </row>
    <row r="42" spans="1:13" ht="49.5" customHeight="1" x14ac:dyDescent="0.2">
      <c r="A42" s="225" t="s">
        <v>240</v>
      </c>
      <c r="B42" s="221" t="s">
        <v>261</v>
      </c>
      <c r="C42" s="221" t="s">
        <v>262</v>
      </c>
      <c r="D42" s="221" t="s">
        <v>263</v>
      </c>
      <c r="E42" s="222" t="s">
        <v>264</v>
      </c>
      <c r="F42" s="343"/>
      <c r="G42" s="139"/>
      <c r="H42" s="387"/>
      <c r="I42" s="387"/>
      <c r="J42" s="387"/>
      <c r="K42" s="387"/>
      <c r="L42" s="387"/>
      <c r="M42" s="387"/>
    </row>
    <row r="43" spans="1:13" ht="15" customHeight="1" x14ac:dyDescent="0.2">
      <c r="A43" s="405" t="s">
        <v>245</v>
      </c>
      <c r="B43" s="406">
        <f t="shared" ref="B43:B48" si="0">$B$18*B30/453.6</f>
        <v>0</v>
      </c>
      <c r="C43" s="407">
        <v>1.85</v>
      </c>
      <c r="D43" s="406">
        <f t="shared" ref="D43:D51" si="1">B43*$B$25/2000</f>
        <v>0</v>
      </c>
      <c r="E43" s="393">
        <v>0.27750000000000002</v>
      </c>
      <c r="F43" s="390"/>
      <c r="G43" s="139"/>
      <c r="H43" s="387"/>
      <c r="I43" s="387"/>
      <c r="J43" s="387" t="b">
        <f>$B43&gt;$C43</f>
        <v>0</v>
      </c>
      <c r="K43" s="387"/>
      <c r="L43" s="387" t="b">
        <f>$D43&gt;$E43</f>
        <v>0</v>
      </c>
      <c r="M43" s="387"/>
    </row>
    <row r="44" spans="1:13" ht="15" customHeight="1" x14ac:dyDescent="0.2">
      <c r="A44" s="405" t="s">
        <v>247</v>
      </c>
      <c r="B44" s="406">
        <f t="shared" si="0"/>
        <v>0</v>
      </c>
      <c r="C44" s="407">
        <v>5.43</v>
      </c>
      <c r="D44" s="406">
        <f t="shared" si="1"/>
        <v>0</v>
      </c>
      <c r="E44" s="393" t="s">
        <v>855</v>
      </c>
      <c r="F44" s="390"/>
      <c r="G44" s="139"/>
      <c r="H44" s="387"/>
      <c r="I44" s="387"/>
      <c r="J44" s="387" t="b">
        <f t="shared" ref="J44:J51" si="2">$B44&gt;$C44</f>
        <v>0</v>
      </c>
      <c r="K44" s="387"/>
      <c r="L44" s="387"/>
      <c r="M44" s="387"/>
    </row>
    <row r="45" spans="1:13" ht="15" customHeight="1" x14ac:dyDescent="0.2">
      <c r="A45" s="405" t="s">
        <v>248</v>
      </c>
      <c r="B45" s="406">
        <f t="shared" si="0"/>
        <v>0</v>
      </c>
      <c r="C45" s="392" t="s">
        <v>855</v>
      </c>
      <c r="D45" s="406">
        <f t="shared" si="1"/>
        <v>0</v>
      </c>
      <c r="E45" s="393" t="s">
        <v>855</v>
      </c>
      <c r="F45" s="390"/>
      <c r="G45" s="139"/>
      <c r="H45" s="387"/>
      <c r="I45" s="387"/>
      <c r="J45" s="387"/>
      <c r="K45" s="387"/>
      <c r="L45" s="387"/>
      <c r="M45" s="387"/>
    </row>
    <row r="46" spans="1:13" ht="15" customHeight="1" x14ac:dyDescent="0.2">
      <c r="A46" s="405" t="s">
        <v>249</v>
      </c>
      <c r="B46" s="406">
        <f t="shared" si="0"/>
        <v>0</v>
      </c>
      <c r="C46" s="408">
        <v>2.1999999999999999E-2</v>
      </c>
      <c r="D46" s="406">
        <f t="shared" si="1"/>
        <v>0</v>
      </c>
      <c r="E46" s="393" t="s">
        <v>855</v>
      </c>
      <c r="F46" s="390"/>
      <c r="G46" s="139"/>
      <c r="H46" s="387"/>
      <c r="I46" s="387"/>
      <c r="J46" s="387" t="b">
        <f t="shared" si="2"/>
        <v>0</v>
      </c>
      <c r="K46" s="387"/>
      <c r="L46" s="387"/>
      <c r="M46" s="387"/>
    </row>
    <row r="47" spans="1:13" ht="15" customHeight="1" x14ac:dyDescent="0.2">
      <c r="A47" s="405" t="s">
        <v>250</v>
      </c>
      <c r="B47" s="406">
        <f t="shared" si="0"/>
        <v>0</v>
      </c>
      <c r="C47" s="408">
        <v>2.1999999999999999E-2</v>
      </c>
      <c r="D47" s="406">
        <f t="shared" si="1"/>
        <v>0</v>
      </c>
      <c r="E47" s="393">
        <v>3.3999999999999998E-3</v>
      </c>
      <c r="F47" s="390"/>
      <c r="G47" s="139"/>
      <c r="H47" s="387"/>
      <c r="I47" s="387"/>
      <c r="J47" s="387" t="b">
        <f t="shared" si="2"/>
        <v>0</v>
      </c>
      <c r="K47" s="387"/>
      <c r="L47" s="387" t="b">
        <f t="shared" ref="L47:L51" si="3">$D47&gt;$E47</f>
        <v>0</v>
      </c>
      <c r="M47" s="387"/>
    </row>
    <row r="48" spans="1:13" ht="15" customHeight="1" x14ac:dyDescent="0.2">
      <c r="A48" s="405" t="s">
        <v>251</v>
      </c>
      <c r="B48" s="406">
        <f t="shared" si="0"/>
        <v>0</v>
      </c>
      <c r="C48" s="392" t="s">
        <v>855</v>
      </c>
      <c r="D48" s="406">
        <f t="shared" si="1"/>
        <v>0</v>
      </c>
      <c r="E48" s="393" t="s">
        <v>855</v>
      </c>
      <c r="F48" s="390"/>
      <c r="G48" s="139"/>
      <c r="H48" s="387"/>
      <c r="I48" s="387"/>
      <c r="J48" s="387"/>
      <c r="K48" s="387"/>
      <c r="L48" s="387"/>
      <c r="M48" s="387"/>
    </row>
    <row r="49" spans="1:13" ht="15" customHeight="1" x14ac:dyDescent="0.2">
      <c r="A49" s="405" t="s">
        <v>252</v>
      </c>
      <c r="B49" s="406">
        <f>$B$19*7.05*$B$18*($B$20/1000000)*(64/32)</f>
        <v>0</v>
      </c>
      <c r="C49" s="408">
        <v>5.8999999999999997E-2</v>
      </c>
      <c r="D49" s="406">
        <f t="shared" si="1"/>
        <v>0</v>
      </c>
      <c r="E49" s="393">
        <v>8.8000000000000005E-3</v>
      </c>
      <c r="F49" s="390"/>
      <c r="G49" s="139"/>
      <c r="H49" s="387"/>
      <c r="I49" s="387"/>
      <c r="J49" s="387" t="b">
        <f t="shared" si="2"/>
        <v>0</v>
      </c>
      <c r="K49" s="387"/>
      <c r="L49" s="387" t="b">
        <f t="shared" si="3"/>
        <v>0</v>
      </c>
      <c r="M49" s="387"/>
    </row>
    <row r="50" spans="1:13" ht="15" customHeight="1" x14ac:dyDescent="0.2">
      <c r="A50" s="405" t="s">
        <v>255</v>
      </c>
      <c r="B50" s="406">
        <f>$B$49*(1/64.06)*(0.1/1)*98.07</f>
        <v>0</v>
      </c>
      <c r="C50" s="409">
        <v>5.7000000000000002E-3</v>
      </c>
      <c r="D50" s="406">
        <f t="shared" si="1"/>
        <v>0</v>
      </c>
      <c r="E50" s="393" t="s">
        <v>855</v>
      </c>
      <c r="F50" s="390"/>
      <c r="G50" s="139"/>
      <c r="H50" s="387"/>
      <c r="I50" s="387"/>
      <c r="J50" s="387" t="b">
        <f t="shared" si="2"/>
        <v>0</v>
      </c>
      <c r="K50" s="387"/>
      <c r="L50" s="387"/>
      <c r="M50" s="387"/>
    </row>
    <row r="51" spans="1:13" ht="15" customHeight="1" x14ac:dyDescent="0.2">
      <c r="A51" s="410" t="s">
        <v>257</v>
      </c>
      <c r="B51" s="619">
        <f>IF(B21="no",0,$B$24*(17/379)*$B$26*(60/1000000))</f>
        <v>0</v>
      </c>
      <c r="C51" s="226">
        <v>0.129</v>
      </c>
      <c r="D51" s="621">
        <f t="shared" si="1"/>
        <v>0</v>
      </c>
      <c r="E51" s="412">
        <v>1.9300000000000001E-2</v>
      </c>
      <c r="F51" s="390"/>
      <c r="G51" s="139"/>
      <c r="H51" s="387"/>
      <c r="I51" s="387" t="b">
        <f>$I$24</f>
        <v>0</v>
      </c>
      <c r="J51" s="387" t="b">
        <f t="shared" si="2"/>
        <v>0</v>
      </c>
      <c r="K51" s="387"/>
      <c r="L51" s="387" t="b">
        <f t="shared" si="3"/>
        <v>0</v>
      </c>
      <c r="M51" s="387"/>
    </row>
    <row r="52" spans="1:13" ht="90.75" customHeight="1" thickBot="1" x14ac:dyDescent="0.25">
      <c r="A52" s="878" t="s">
        <v>265</v>
      </c>
      <c r="B52" s="844"/>
      <c r="C52" s="844"/>
      <c r="D52" s="844"/>
      <c r="E52" s="844"/>
      <c r="F52" s="879"/>
      <c r="G52" s="139"/>
      <c r="H52" s="387"/>
      <c r="I52" s="387"/>
      <c r="J52" s="387"/>
      <c r="K52" s="387"/>
      <c r="L52" s="387"/>
      <c r="M52" s="387"/>
    </row>
    <row r="53" spans="1:13" ht="15" customHeight="1" thickBot="1" x14ac:dyDescent="0.25">
      <c r="A53" s="316"/>
      <c r="B53" s="154"/>
      <c r="C53" s="154"/>
      <c r="D53" s="154"/>
      <c r="E53" s="154"/>
      <c r="F53" s="154"/>
      <c r="G53" s="139"/>
      <c r="H53" s="387"/>
      <c r="I53" s="387"/>
      <c r="J53" s="387"/>
      <c r="K53" s="387"/>
      <c r="L53" s="387"/>
      <c r="M53" s="387"/>
    </row>
    <row r="54" spans="1:13" ht="17.100000000000001" customHeight="1" thickBot="1" x14ac:dyDescent="0.25">
      <c r="A54" s="156" t="s">
        <v>266</v>
      </c>
      <c r="B54" s="157"/>
      <c r="C54" s="157"/>
      <c r="D54" s="157"/>
      <c r="E54" s="157"/>
      <c r="F54" s="286"/>
      <c r="G54" s="139"/>
      <c r="H54" s="387"/>
      <c r="I54" s="387"/>
      <c r="J54" s="387"/>
      <c r="K54" s="387"/>
      <c r="L54" s="387"/>
      <c r="M54" s="387"/>
    </row>
    <row r="55" spans="1:13" ht="20.100000000000001" customHeight="1" thickBot="1" x14ac:dyDescent="0.25">
      <c r="A55" s="413" t="s">
        <v>267</v>
      </c>
      <c r="B55" s="414"/>
      <c r="C55" s="414"/>
      <c r="D55" s="414"/>
      <c r="E55" s="414"/>
      <c r="F55" s="415"/>
      <c r="G55" s="139"/>
      <c r="H55" s="387"/>
      <c r="I55" s="387"/>
      <c r="J55" s="387"/>
      <c r="K55" s="387"/>
      <c r="L55" s="387"/>
      <c r="M55" s="387"/>
    </row>
    <row r="56" spans="1:13" ht="20.100000000000001" customHeight="1" x14ac:dyDescent="0.2">
      <c r="A56" s="204" t="s">
        <v>268</v>
      </c>
      <c r="B56" s="201"/>
      <c r="C56" s="201"/>
      <c r="D56" s="201"/>
      <c r="E56" s="201"/>
      <c r="F56" s="352"/>
      <c r="G56" s="139"/>
      <c r="H56" s="387"/>
      <c r="I56" s="387"/>
      <c r="J56" s="387"/>
      <c r="K56" s="387"/>
      <c r="L56" s="387"/>
      <c r="M56" s="387"/>
    </row>
    <row r="57" spans="1:13" customFormat="1" ht="20.100000000000001" customHeight="1" x14ac:dyDescent="0.2">
      <c r="A57" s="90" t="str">
        <f>"("&amp;TEXT($B$18,"#,##0")&amp;" hp × "&amp;$B$30&amp;" g/hp-hr)"&amp;" ÷ 453.6 lb/g = "&amp;TEXT(($B$18*B30)/453.6,"#,##0.00##")&amp;" lb/hr"</f>
        <v>(0 hp ×  g/hp-hr) ÷ 453.6 lb/g = 0.00 lb/hr</v>
      </c>
      <c r="B57" s="91"/>
      <c r="C57" s="91"/>
      <c r="D57" s="91"/>
      <c r="E57" s="91"/>
      <c r="F57" s="91"/>
      <c r="G57" s="193"/>
    </row>
    <row r="58" spans="1:13" ht="20.100000000000001" customHeight="1" x14ac:dyDescent="0.2">
      <c r="A58" s="205" t="s">
        <v>269</v>
      </c>
      <c r="B58" s="206"/>
      <c r="C58" s="206"/>
      <c r="D58" s="206"/>
      <c r="E58" s="206"/>
      <c r="F58" s="354"/>
      <c r="G58" s="139"/>
      <c r="H58" s="387"/>
      <c r="I58" s="387"/>
      <c r="J58" s="387"/>
      <c r="K58" s="387"/>
      <c r="L58" s="387"/>
      <c r="M58" s="387"/>
    </row>
    <row r="59" spans="1:13" customFormat="1" ht="20.100000000000001" customHeight="1" x14ac:dyDescent="0.2">
      <c r="A59" s="869" t="str">
        <f>"("&amp;TEXT(B19,"#,##0")&amp;" gal diesel/hp-hr × 7.05 lb diesel/gal diesel × "&amp;TEXT($B$18,"#,##0")&amp;" hp)"&amp;" × ("&amp;$B$20&amp;" lb S ÷ 1,000,000 lb diesel)"&amp;" × (64 lb SO2 ÷ 32 lb S) = "&amp;TEXT($B$19*7.05*$B$18*($B$20/1000000)*(64/32),"#,##0.00##")&amp;" lb/hr"</f>
        <v>(0 gal diesel/hp-hr × 7.05 lb diesel/gal diesel × 0 hp) × ( lb S ÷ 1,000,000 lb diesel) × (64 lb SO2 ÷ 32 lb S) = 0.00 lb/hr</v>
      </c>
      <c r="B59" s="870"/>
      <c r="C59" s="870"/>
      <c r="D59" s="870"/>
      <c r="E59" s="870"/>
      <c r="F59" s="871"/>
      <c r="G59" s="193"/>
    </row>
    <row r="60" spans="1:13" ht="20.100000000000001" customHeight="1" x14ac:dyDescent="0.2">
      <c r="A60" s="353" t="s">
        <v>270</v>
      </c>
      <c r="B60" s="271"/>
      <c r="C60" s="271"/>
      <c r="D60" s="271"/>
      <c r="E60" s="271"/>
      <c r="F60" s="271"/>
      <c r="G60" s="139"/>
      <c r="H60" s="387"/>
      <c r="I60" s="387"/>
      <c r="J60" s="387"/>
      <c r="K60" s="387"/>
      <c r="L60" s="387"/>
      <c r="M60" s="387"/>
    </row>
    <row r="61" spans="1:13" customFormat="1" ht="30" customHeight="1" x14ac:dyDescent="0.2">
      <c r="A61" s="707" t="str">
        <f>"("&amp;TEXT($B$49,"#,##0.00")&amp;" lb/hr) × (1 lb mol SO2 ÷ 64.06 lb SO2) × (0.1 lb mol SO3 ÷ 1 lb mol SO2) × (1 lb mol H2SO4 ÷ 1 lb mol SO3) × (98.07 lb H2SO4 ÷ 1 lb mol H2SO4) = "&amp;TEXT($B$49*(1/64.06)*(0.1/1)*98.07,"#,##0.00##")&amp;" lb/hr"</f>
        <v>(0.00 lb/hr) × (1 lb mol SO2 ÷ 64.06 lb SO2) × (0.1 lb mol SO3 ÷ 1 lb mol SO2) × (1 lb mol H2SO4 ÷ 1 lb mol SO3) × (98.07 lb H2SO4 ÷ 1 lb mol H2SO4) = 0.00 lb/hr</v>
      </c>
      <c r="B61" s="859"/>
      <c r="C61" s="859"/>
      <c r="D61" s="859"/>
      <c r="E61" s="859"/>
      <c r="F61" s="860"/>
      <c r="G61" s="193"/>
    </row>
    <row r="62" spans="1:13" ht="20.100000000000001" customHeight="1" x14ac:dyDescent="0.2">
      <c r="A62" s="90" t="s">
        <v>271</v>
      </c>
      <c r="B62" s="415"/>
      <c r="C62" s="415"/>
      <c r="D62" s="415"/>
      <c r="E62" s="415"/>
      <c r="F62" s="415"/>
      <c r="G62" s="139"/>
      <c r="H62" s="387"/>
      <c r="I62" s="387"/>
      <c r="J62" s="387"/>
      <c r="K62" s="387"/>
      <c r="L62" s="387"/>
      <c r="M62" s="387"/>
    </row>
    <row r="63" spans="1:13" ht="20.100000000000001" customHeight="1" x14ac:dyDescent="0.2">
      <c r="A63" s="205" t="s">
        <v>272</v>
      </c>
      <c r="B63" s="206"/>
      <c r="C63" s="206"/>
      <c r="D63" s="206"/>
      <c r="E63" s="206"/>
      <c r="F63" s="354"/>
      <c r="G63" s="139"/>
      <c r="H63" s="387"/>
      <c r="I63" s="387" t="b">
        <f>$I$24</f>
        <v>0</v>
      </c>
      <c r="J63" s="387"/>
      <c r="K63" s="387"/>
      <c r="L63" s="387"/>
      <c r="M63" s="387"/>
    </row>
    <row r="64" spans="1:13" customFormat="1" ht="20.100000000000001" customHeight="1" x14ac:dyDescent="0.2">
      <c r="A64" s="869" t="str">
        <f>"("&amp;TEXT($B$24,"#,##0.00")&amp;" ppm NH3 × 17 lb NH3/lb-mol × "&amp;TEXT($B$26,"#,##0.00")&amp;" scf/min × 60 min/hr) ÷ (379.00 dscf/lb-mol × 1000000) = "&amp;TEXT($B$24*(17/379)*$B$26*(60/1000000),"#,##0.00##")&amp;" lb/hr"</f>
        <v>(0.00 ppm NH3 × 17 lb NH3/lb-mol × 0.00 scf/min × 60 min/hr) ÷ (379.00 dscf/lb-mol × 1000000) = 0.00 lb/hr</v>
      </c>
      <c r="B64" s="870"/>
      <c r="C64" s="870"/>
      <c r="D64" s="870"/>
      <c r="E64" s="870"/>
      <c r="F64" s="871"/>
      <c r="G64" s="193"/>
      <c r="I64" t="b">
        <f>$I$24</f>
        <v>0</v>
      </c>
    </row>
    <row r="65" spans="1:13" ht="20.100000000000001" customHeight="1" x14ac:dyDescent="0.2">
      <c r="A65" s="353" t="s">
        <v>273</v>
      </c>
      <c r="B65" s="271"/>
      <c r="C65" s="271"/>
      <c r="D65" s="271"/>
      <c r="E65" s="271"/>
      <c r="F65" s="271"/>
      <c r="G65" s="139"/>
      <c r="H65" s="387"/>
      <c r="I65" s="387"/>
      <c r="J65" s="387"/>
      <c r="K65" s="387"/>
      <c r="L65" s="387"/>
      <c r="M65" s="387"/>
    </row>
    <row r="66" spans="1:13" customFormat="1" ht="20.100000000000001" customHeight="1" thickBot="1" x14ac:dyDescent="0.25">
      <c r="A66" s="207" t="str">
        <f>"("&amp;TEXT($B$43,"#,##0.00")&amp;" lb/hr × "&amp;$B$25&amp;" hr/yr)"&amp;" ÷  2000 lb/ton = "&amp;TEXT(($B$43*$B$25)/2000,"#,##0.00##")&amp;" tpy"</f>
        <v>(0.00 lb/hr ×  hr/yr) ÷  2000 lb/ton = 0.00 tpy</v>
      </c>
      <c r="B66" s="208"/>
      <c r="C66" s="208"/>
      <c r="D66" s="208"/>
      <c r="E66" s="208"/>
      <c r="F66" s="208"/>
      <c r="G66" s="143"/>
    </row>
    <row r="67" spans="1:13" ht="8.4499999999999993" customHeight="1" x14ac:dyDescent="0.2">
      <c r="A67" s="313"/>
      <c r="B67" s="164"/>
      <c r="C67" s="164"/>
      <c r="D67" s="164"/>
      <c r="E67" s="164"/>
      <c r="F67" s="164"/>
      <c r="G67" s="164"/>
      <c r="H67" s="387"/>
      <c r="I67" s="387"/>
      <c r="J67" s="387"/>
      <c r="K67" s="387"/>
      <c r="L67" s="387"/>
      <c r="M67" s="387"/>
    </row>
    <row r="68" spans="1:13" x14ac:dyDescent="0.2">
      <c r="A68" s="812" t="str">
        <f>HYPERLINK("#Sheet_Eng5","End of sheet. Click here to move to the next sheet.")</f>
        <v>End of sheet. Click here to move to the next sheet.</v>
      </c>
      <c r="B68" s="858"/>
      <c r="C68" s="858"/>
      <c r="D68" s="858"/>
      <c r="E68" s="858"/>
      <c r="F68" s="858"/>
      <c r="G68" s="146"/>
      <c r="H68" s="387"/>
      <c r="I68" s="387"/>
      <c r="J68" s="387"/>
      <c r="K68" s="387"/>
      <c r="L68" s="387"/>
      <c r="M68" s="387"/>
    </row>
    <row r="69" spans="1:13" ht="8.4499999999999993" hidden="1" customHeight="1" x14ac:dyDescent="0.2">
      <c r="A69" s="85"/>
      <c r="B69" s="85"/>
      <c r="C69" s="85"/>
      <c r="D69" s="85"/>
      <c r="E69" s="85"/>
      <c r="F69" s="85"/>
      <c r="G69" s="85"/>
      <c r="H69" s="387"/>
      <c r="I69" s="387"/>
      <c r="J69" s="387"/>
      <c r="K69" s="387"/>
      <c r="L69" s="387"/>
      <c r="M69" s="387"/>
    </row>
    <row r="70" spans="1:13" hidden="1" x14ac:dyDescent="0.2">
      <c r="A70" s="387"/>
      <c r="B70" s="387"/>
      <c r="C70" s="387"/>
      <c r="D70" s="387"/>
      <c r="E70" s="387"/>
      <c r="F70" s="387"/>
      <c r="G70" s="387"/>
      <c r="H70" s="387"/>
      <c r="I70" s="387"/>
      <c r="J70" s="387"/>
      <c r="K70" s="387"/>
      <c r="L70" s="387"/>
      <c r="M70" s="387"/>
    </row>
    <row r="71" spans="1:13" hidden="1" x14ac:dyDescent="0.2">
      <c r="A71" s="387"/>
      <c r="B71" s="387"/>
      <c r="C71" s="387"/>
      <c r="D71" s="387"/>
      <c r="E71" s="387"/>
      <c r="F71" s="387"/>
      <c r="G71" s="387"/>
      <c r="H71" s="387"/>
      <c r="I71" s="387"/>
      <c r="J71" s="387"/>
      <c r="K71" s="387"/>
      <c r="L71" s="387"/>
      <c r="M71" s="387"/>
    </row>
    <row r="72" spans="1:13" hidden="1" x14ac:dyDescent="0.2">
      <c r="A72" s="387"/>
      <c r="B72" s="387"/>
      <c r="C72" s="387"/>
      <c r="D72" s="387"/>
      <c r="E72" s="387"/>
      <c r="F72" s="387"/>
      <c r="G72" s="387"/>
      <c r="H72" s="387"/>
      <c r="I72" s="387"/>
      <c r="J72" s="387"/>
      <c r="K72" s="387"/>
      <c r="L72" s="387"/>
      <c r="M72" s="387"/>
    </row>
    <row r="73" spans="1:13" hidden="1" x14ac:dyDescent="0.2">
      <c r="A73" s="387"/>
      <c r="B73" s="387"/>
      <c r="C73" s="387"/>
      <c r="D73" s="387"/>
      <c r="E73" s="387"/>
      <c r="F73" s="387"/>
      <c r="G73" s="387"/>
      <c r="H73" s="387"/>
      <c r="I73" s="387"/>
      <c r="J73" s="387"/>
      <c r="K73" s="387"/>
      <c r="L73" s="387"/>
      <c r="M73" s="387"/>
    </row>
    <row r="74" spans="1:13" hidden="1" x14ac:dyDescent="0.2">
      <c r="A74" s="387"/>
      <c r="B74" s="387"/>
      <c r="C74" s="387"/>
      <c r="D74" s="387"/>
      <c r="E74" s="387"/>
      <c r="F74" s="387"/>
      <c r="G74" s="387"/>
      <c r="H74" s="387"/>
      <c r="I74" s="387"/>
      <c r="J74" s="387"/>
      <c r="K74" s="387"/>
      <c r="L74" s="387"/>
      <c r="M74" s="387"/>
    </row>
    <row r="75" spans="1:13" hidden="1" x14ac:dyDescent="0.2">
      <c r="A75" s="387"/>
      <c r="B75" s="387"/>
      <c r="C75" s="387"/>
      <c r="D75" s="387"/>
      <c r="E75" s="387"/>
      <c r="F75" s="387"/>
      <c r="G75" s="387"/>
      <c r="H75" s="387"/>
      <c r="I75" s="387"/>
      <c r="J75" s="387"/>
      <c r="K75" s="387"/>
      <c r="L75" s="387"/>
      <c r="M75" s="387"/>
    </row>
    <row r="76" spans="1:13" hidden="1" x14ac:dyDescent="0.2">
      <c r="A76" s="387"/>
      <c r="B76" s="387"/>
      <c r="C76" s="387"/>
      <c r="D76" s="387"/>
      <c r="E76" s="387"/>
      <c r="F76" s="387"/>
      <c r="G76" s="387"/>
      <c r="H76" s="387"/>
      <c r="I76" s="387"/>
      <c r="J76" s="387"/>
      <c r="K76" s="387"/>
      <c r="L76" s="387"/>
      <c r="M76" s="387"/>
    </row>
    <row r="77" spans="1:13" hidden="1" x14ac:dyDescent="0.2">
      <c r="A77" s="387"/>
      <c r="B77" s="387"/>
      <c r="C77" s="387"/>
      <c r="D77" s="387"/>
      <c r="E77" s="387"/>
      <c r="F77" s="387"/>
      <c r="G77" s="387"/>
      <c r="H77" s="387"/>
      <c r="I77" s="387"/>
      <c r="J77" s="387"/>
      <c r="K77" s="387"/>
      <c r="L77" s="387"/>
      <c r="M77" s="387"/>
    </row>
    <row r="78" spans="1:13" hidden="1" x14ac:dyDescent="0.2">
      <c r="A78" s="387"/>
      <c r="B78" s="387"/>
      <c r="C78" s="387"/>
      <c r="D78" s="387"/>
      <c r="E78" s="387"/>
      <c r="F78" s="387"/>
      <c r="G78" s="387"/>
      <c r="H78" s="387"/>
      <c r="I78" s="387"/>
      <c r="J78" s="387"/>
      <c r="K78" s="387"/>
      <c r="L78" s="387"/>
      <c r="M78" s="387"/>
    </row>
    <row r="79" spans="1:13" hidden="1" x14ac:dyDescent="0.2">
      <c r="A79" s="387"/>
      <c r="B79" s="387"/>
      <c r="C79" s="387"/>
      <c r="D79" s="387"/>
      <c r="E79" s="387"/>
      <c r="F79" s="387"/>
      <c r="G79" s="387"/>
      <c r="H79" s="387"/>
      <c r="I79" s="387"/>
      <c r="J79" s="387"/>
      <c r="K79" s="387"/>
      <c r="L79" s="387"/>
      <c r="M79" s="387"/>
    </row>
    <row r="80" spans="1:13" hidden="1" x14ac:dyDescent="0.2">
      <c r="A80" s="387"/>
      <c r="B80" s="387"/>
      <c r="C80" s="387"/>
      <c r="D80" s="387"/>
      <c r="E80" s="387"/>
      <c r="F80" s="387"/>
      <c r="G80" s="387"/>
      <c r="H80" s="387"/>
      <c r="I80" s="387"/>
      <c r="J80" s="387"/>
      <c r="K80" s="387"/>
      <c r="L80" s="387"/>
      <c r="M80" s="387"/>
    </row>
    <row r="81" spans="1:13" hidden="1" x14ac:dyDescent="0.2">
      <c r="A81" s="387"/>
      <c r="B81" s="387"/>
      <c r="C81" s="387"/>
      <c r="D81" s="387"/>
      <c r="E81" s="387"/>
      <c r="F81" s="387"/>
      <c r="G81" s="387"/>
      <c r="H81" s="387"/>
      <c r="I81" s="387"/>
      <c r="J81" s="387"/>
      <c r="K81" s="387"/>
      <c r="L81" s="387"/>
      <c r="M81" s="387"/>
    </row>
    <row r="82" spans="1:13" hidden="1" x14ac:dyDescent="0.2">
      <c r="A82" s="387"/>
      <c r="B82" s="387"/>
      <c r="C82" s="387"/>
      <c r="D82" s="387"/>
      <c r="E82" s="387"/>
      <c r="F82" s="387"/>
      <c r="G82" s="387"/>
      <c r="H82" s="387"/>
      <c r="I82" s="387"/>
      <c r="J82" s="387"/>
      <c r="K82" s="387"/>
      <c r="L82" s="387"/>
      <c r="M82" s="387"/>
    </row>
    <row r="83" spans="1:13" hidden="1" x14ac:dyDescent="0.2">
      <c r="A83" s="387"/>
      <c r="B83" s="387"/>
      <c r="C83" s="387"/>
      <c r="D83" s="387"/>
      <c r="E83" s="387"/>
      <c r="F83" s="387"/>
      <c r="G83" s="387"/>
      <c r="H83" s="387"/>
      <c r="I83" s="387"/>
      <c r="J83" s="387"/>
      <c r="K83" s="387"/>
      <c r="L83" s="387"/>
      <c r="M83" s="387"/>
    </row>
    <row r="84" spans="1:13" hidden="1" x14ac:dyDescent="0.2">
      <c r="A84" s="387"/>
      <c r="B84" s="387"/>
      <c r="C84" s="387"/>
      <c r="D84" s="387"/>
      <c r="E84" s="387"/>
      <c r="F84" s="387"/>
      <c r="G84" s="387"/>
      <c r="H84" s="387"/>
      <c r="I84" s="387"/>
      <c r="J84" s="387"/>
      <c r="K84" s="387"/>
      <c r="L84" s="387"/>
      <c r="M84" s="387"/>
    </row>
  </sheetData>
  <sheetProtection algorithmName="SHA-512" hashValue="hHC4+MNQQtI6vAzmAAs0TEYAH/Nl6/INWeksuIN2CzaHKu7n1qdKTKJHiyEuYrmmt0uNmjpbd2GB5OaEKWYKsA==" saltValue="WTBjDr8NwHxE6JtJ/HDDtQ==" spinCount="100000" sheet="1" objects="1" scenarios="1" formatColumns="0" formatRows="0" autoFilter="0"/>
  <mergeCells count="18">
    <mergeCell ref="A59:F59"/>
    <mergeCell ref="A61:F61"/>
    <mergeCell ref="A64:F64"/>
    <mergeCell ref="A52:F52"/>
    <mergeCell ref="A68:F68"/>
    <mergeCell ref="A41:F41"/>
    <mergeCell ref="A1:F1"/>
    <mergeCell ref="A2:E2"/>
    <mergeCell ref="E36:F36"/>
    <mergeCell ref="E37:F37"/>
    <mergeCell ref="E38:F38"/>
    <mergeCell ref="E35:F35"/>
    <mergeCell ref="E34:F34"/>
    <mergeCell ref="E33:F33"/>
    <mergeCell ref="E32:F32"/>
    <mergeCell ref="E31:F31"/>
    <mergeCell ref="E30:F30"/>
    <mergeCell ref="E29:F29"/>
  </mergeCells>
  <conditionalFormatting sqref="A24:D24 A38:F38 A51:E51 A63:F64">
    <cfRule type="expression" dxfId="70" priority="2">
      <formula>$I24</formula>
    </cfRule>
  </conditionalFormatting>
  <conditionalFormatting sqref="A1:G66">
    <cfRule type="expression" dxfId="69" priority="1">
      <formula>$I$1</formula>
    </cfRule>
  </conditionalFormatting>
  <conditionalFormatting sqref="B43:D51">
    <cfRule type="expression" dxfId="68" priority="3">
      <formula>J43</formula>
    </cfRule>
  </conditionalFormatting>
  <dataValidations count="27">
    <dataValidation type="decimal" operator="lessThanOrEqual" allowBlank="1" showErrorMessage="1" promptTitle="Emission Factor" prompt="Enter the emission factor for volatile organic compounds (VOC), in grams per horsepower-hour. The pounds per hour (lb/hr) and tons per year (tpy) will automatically calculate in cells to the right." sqref="B35" xr:uid="{96476313-0D14-4190-9300-FCE365D73A5D}">
      <formula1>100</formula1>
    </dataValidation>
    <dataValidation type="list" allowBlank="1" showErrorMessage="1" promptTitle="UTM Zone" prompt="Enter the UTM Coordinates zone for the EPN &quot;Engine1&quot;. In Texas, this must be 13, 14, or 15." sqref="B8" xr:uid="{F8970DD4-84D5-4872-BCA0-58A3E048293F}">
      <formula1>"13,14,15"</formula1>
    </dataValidation>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9" xr:uid="{89891148-A766-4076-9257-A7A34CBE4538}">
      <formula1>205000</formula1>
      <formula2>795000</formula2>
    </dataValidation>
    <dataValidation type="decimal" allowBlank="1" showErrorMessage="1" errorTitle="North (Meters)" error="Enter a value between 2854000 and 4059000 meters." promptTitle="UTM North" prompt="Enter the distance north of the zone datum for this EPN, in meters. This is a six-digit number between 2854000 and 4059000." sqref="B10" xr:uid="{702BA3A7-137E-459A-B1B3-E1DC27D9D612}">
      <formula1>2854000</formula1>
      <formula2>4059000</formula2>
    </dataValidation>
    <dataValidation operator="greaterThanOrEqual" allowBlank="1" showErrorMessage="1" errorTitle="Maximum Value Exceeded" error="Please enter a value for this parameter below the maximum value." promptTitle="Input Parameters" prompt="Enter the rated brake horsepower (BHP) in horsepower (hp). Note that this value must be less than __." sqref="B18" xr:uid="{C0FC5891-1396-4986-896F-8F6DE5DF6423}"/>
    <dataValidation type="decimal" operator="greaterThanOrEqual" allowBlank="1" showErrorMessage="1" errorTitle="Parameter Below Minimum Value" error="Please enter a value for this parameter that is larger than the minimum value." promptTitle="Input Parameters" prompt="Enter the velocity of the emisions, in feet per second. Note that this value must be greater than 168.7 feet per second." sqref="B17" xr:uid="{05548DD7-EBB2-431C-AA12-F2C6C7B61D91}">
      <formula1>C17</formula1>
    </dataValidation>
    <dataValidation type="decimal" operator="greaterThanOrEqual" allowBlank="1" showErrorMessage="1" errorTitle="Parameter Below Minimum Value" error="Please enter a value for this parameter that is larger than the minimum value." promptTitle="Input Parameters" prompt="Enter the Temperature in degrees Fahrenheit for this EPN. Note that this must be at least 828 degrees." sqref="B16" xr:uid="{9EDC1E22-370F-4E70-827A-212730755C48}">
      <formula1>C16</formula1>
    </dataValidation>
    <dataValidation type="decimal" operator="greaterThanOrEqual" allowBlank="1" showErrorMessage="1" errorTitle="Parameter Below Minimum Value" error="Please enter a value for this parameter that is larger than the minimum value." promptTitle="Imput Parameters" prompt="Enter the stack diameter. With this permit, the stack must be at least 0.66 feet wide." sqref="B15" xr:uid="{0AA05D46-448F-476E-80F2-541FA8E0CAD8}">
      <formula1>C15</formula1>
    </dataValidation>
    <dataValidation type="decimal" operator="greaterThanOrEqual" allowBlank="1" showErrorMessage="1" errorTitle="Parameter Below Minimum Value" error="Please enter a value for this parameter that is larger than the minimum value." promptTitle="Input Parameters" prompt="Enter the release height of this EPN. This must be at least 25 feet." sqref="B14" xr:uid="{989AFB12-3B4E-4D42-9403-5295F1B3BA6F}">
      <formula1>C14</formula1>
    </dataValidation>
    <dataValidation type="decimal" operator="lessThanOrEqual" allowBlank="1" showErrorMessage="1" errorTitle="Maximum Value Exceeded" error="Please enter a value for this parameter below the maximum value." promptTitle="Input Parameters" prompt="Enter the annual operating schedule in total hours per year. Note that this value must be below 300 hours per year." sqref="B25" xr:uid="{18B08348-1DA2-42C5-904C-3CC23E617409}">
      <formula1>D25</formula1>
    </dataValidation>
    <dataValidation allowBlank="1" showErrorMessage="1" promptTitle="Source Name" prompt="Enter the Source Name for the engine." sqref="B7" xr:uid="{CCEEC803-1FDB-4EE5-9F9D-CFD41F6E15CF}"/>
    <dataValidation type="decimal" operator="lessThanOrEqual" allowBlank="1" showErrorMessage="1" promptTitle="Emission Factor" prompt="Enter the emission factor for carbon monoxide, in grams per horsepower-hour. The pounds per hour (lb/hr) and tons per year (tpy) will automatically calculate in cells to the right." sqref="B31" xr:uid="{BF85D50E-62A2-44F6-824B-1BAF48A251C7}">
      <formula1>C44*453.6/$B$18</formula1>
    </dataValidation>
    <dataValidation type="decimal" operator="lessThanOrEqual" allowBlank="1" showErrorMessage="1" promptTitle="Emission Factor" prompt="Enter the emission factor for NOx, in grams per horsepower-hour. The pounds per hour (lb/hr) and tons per year (tpy) will automatically calculate in cells to the right." sqref="B30" xr:uid="{3735C48F-05C4-4E42-B0CC-BD58B44ADE2B}">
      <formula1>C43*453.6/$B$18</formula1>
    </dataValidation>
    <dataValidation type="list" allowBlank="1" showInputMessage="1" showErrorMessage="1" sqref="D30:D35" xr:uid="{EBF8D86C-518D-41B8-9DF2-A11283B1DE61}">
      <formula1>EngDDSource</formula1>
    </dataValidation>
    <dataValidation allowBlank="1" showErrorMessage="1" prompt="select source of emission factor" sqref="D36:D38" xr:uid="{5B124DFF-C59B-493B-86A4-6459C009ED04}"/>
    <dataValidation type="decimal" operator="lessThanOrEqual" allowBlank="1" showErrorMessage="1" promptTitle="Input Parameters" prompt="Enter the ammonia concentration in ppm." sqref="B24" xr:uid="{5AB8E44A-32EE-46C4-AEA6-3C6E10CFAAD7}">
      <formula1>10</formula1>
    </dataValidation>
    <dataValidation type="decimal" operator="lessThanOrEqual" allowBlank="1" showErrorMessage="1" promptTitle="Input Parameters" prompt="Enter the sulfur content of the diesel." sqref="B20" xr:uid="{79F64B36-0A65-4346-9834-887ACCF287B9}">
      <formula1>15</formula1>
    </dataValidation>
    <dataValidation type="list" allowBlank="1" showErrorMessage="1" promptTitle="Input Parameters" prompt="Is there a diesel filter? Select or enter yes or no." sqref="B23" xr:uid="{D8FD2EF2-E86B-46A8-BD4B-330D6FF74D34}">
      <formula1>"Yes,No"</formula1>
    </dataValidation>
    <dataValidation type="list" allowBlank="1" showErrorMessage="1" promptTitle="Input Parameters" prompt="Is there an oxidation catalyst? Select or enter yes or no." sqref="B22" xr:uid="{8ED983F6-9789-48B8-893B-9D1B3D906CA9}">
      <formula1>"Yes,No"</formula1>
    </dataValidation>
    <dataValidation type="decimal" operator="greaterThanOrEqual" allowBlank="1" showErrorMessage="1" errorTitle="Maximum Value Exceeded" error="Please enter a value for this parameter below the maximum value." prompt="Exhaust gas flow rate is deteremined by input parameters." sqref="B26" xr:uid="{8E8573B3-6366-4B0E-A91F-3B77DE84FFB0}">
      <formula1>0</formula1>
    </dataValidation>
    <dataValidation type="list" allowBlank="1" showErrorMessage="1" promptTitle="Input Parameters" prompt="Is there a selective catalytic reduction (SCR) system for this engine? Select or enter yes or no." sqref="B21" xr:uid="{45FCC5CD-A721-4A4F-BDAF-9301D8B9DE82}">
      <formula1>"Yes,No"</formula1>
    </dataValidation>
    <dataValidation operator="lessThanOrEqual" allowBlank="1" showErrorMessage="1" promptTitle="Emission Factor" prompt="Enter the emission factor for particulate matter with diameters 2.5 microns or less (PM2.5), in grams per horsepower-hour. The pounds per hour (lb/hr) and tons per year (tpy) will automatically calculate in cells to the right." sqref="B34" xr:uid="{C34C7F5D-C298-42C4-A043-FCB6F19C37B0}"/>
    <dataValidation operator="lessThanOrEqual" allowBlank="1" showErrorMessage="1" promptTitle="Emission Factor" prompt="Enter the emission factor for particulate matter with diameters 10 microns or less (PM10), in grams per horsepower-hour. The pounds per hour (lb/hr) and tons per year (tpy) will automatically calculate in cells to the right." sqref="B33" xr:uid="{6BC37F1B-0E49-47CA-97BF-3EE2B368BE98}"/>
    <dataValidation operator="lessThanOrEqual" allowBlank="1" showErrorMessage="1" promptTitle="Emission Factor" prompt="Enter the emission factor for particulate matter (PM), in grams per horsepower-hour. The pounds per hour (lb/hr) and tons per year (tpy) will automatically calculate in cells to the right." sqref="B32" xr:uid="{3D08F0CE-A18F-4396-A92A-D23AD411C9AA}"/>
    <dataValidation allowBlank="1" showErrorMessage="1" prompt="This cell intentionally left blank for internal comments. All internal comments must be submitted prior to application submittal." sqref="G3:G66 F41" xr:uid="{6300A0FC-15C1-42C9-B22A-BC7A27FBCC1E}"/>
    <dataValidation type="textLength" allowBlank="1" showErrorMessage="1" promptTitle="FIN" prompt="Input the Facility Identification Number for the engine.  Limited to 10 alphanumeric characters." sqref="B6" xr:uid="{D933D87A-2FB7-42EE-9D06-2C72BC138DDC}">
      <formula1>0</formula1>
      <formula2>10</formula2>
    </dataValidation>
    <dataValidation type="decimal" operator="greaterThanOrEqual" allowBlank="1" showErrorMessage="1" errorTitle="Maximum Value Exceeded" error="Please enter a value for this parameter below the maximum value." promptTitle="Input Parameters" prompt="Enter the fuel consumption rate, in pounds of diesel per horsepower-hour._x000a_" sqref="B19" xr:uid="{36CC7FF0-2378-4396-AA6C-E5F296454848}">
      <formula1>0</formula1>
    </dataValidation>
  </dataValidations>
  <printOptions horizontalCentered="1"/>
  <pageMargins left="0.25" right="0.25" top="0.57395833333333302" bottom="0.61354166666666698" header="0.3" footer="0.3"/>
  <pageSetup scale="73" orientation="portrait" r:id="rId1"/>
  <headerFooter>
    <oddHeader>&amp;C&amp;"Arial,Regular"Engine Power Generation RAP Application</oddHeader>
    <oddFooter>&amp;L&amp;"Arial,Regular"Version: 1.0&amp;C&amp;"Arial,Regular"Sheet: &amp;A&amp;R&amp;"Arial,Regular"Page &amp;P</oddFooter>
  </headerFooter>
  <rowBreaks count="1" manualBreakCount="1">
    <brk id="52" max="16383" man="1"/>
  </rowBreaks>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14D1-9843-4750-AF54-5977378715A3}">
  <sheetPr codeName="Sheet10">
    <tabColor rgb="FFFFFFCC"/>
  </sheetPr>
  <dimension ref="A1:N84"/>
  <sheetViews>
    <sheetView showGridLines="0" zoomScaleNormal="100" workbookViewId="0">
      <selection sqref="A1:F1"/>
    </sheetView>
  </sheetViews>
  <sheetFormatPr defaultColWidth="0" defaultRowHeight="14.25" zeroHeight="1" x14ac:dyDescent="0.2"/>
  <cols>
    <col min="1" max="1" width="34.125" style="2" customWidth="1"/>
    <col min="2" max="3" width="14.375" style="2" customWidth="1"/>
    <col min="4" max="4" width="16.375" style="2" customWidth="1"/>
    <col min="5" max="5" width="18.5" style="2" customWidth="1"/>
    <col min="6" max="6" width="27.125" style="2" customWidth="1"/>
    <col min="7" max="7" width="40.625" style="2" customWidth="1"/>
    <col min="8" max="8" width="2.625" style="2" customWidth="1"/>
    <col min="9" max="16384" width="9" style="2" hidden="1"/>
  </cols>
  <sheetData>
    <row r="1" spans="1:13" ht="18.75" thickBot="1" x14ac:dyDescent="0.25">
      <c r="A1" s="861" t="s">
        <v>278</v>
      </c>
      <c r="B1" s="862"/>
      <c r="C1" s="862"/>
      <c r="D1" s="862"/>
      <c r="E1" s="862"/>
      <c r="F1" s="863"/>
      <c r="G1" s="133" t="s">
        <v>60</v>
      </c>
      <c r="H1" s="387"/>
      <c r="I1" s="387" t="b">
        <f>'PI-1-PowerEngine'!$B$78&lt;5</f>
        <v>1</v>
      </c>
      <c r="J1" s="387"/>
      <c r="K1" s="387"/>
      <c r="L1" s="387"/>
      <c r="M1" s="387"/>
    </row>
    <row r="2" spans="1:13" ht="61.5" customHeight="1" thickBot="1" x14ac:dyDescent="0.25">
      <c r="A2" s="880" t="s">
        <v>215</v>
      </c>
      <c r="B2" s="853"/>
      <c r="C2" s="853"/>
      <c r="D2" s="853"/>
      <c r="E2" s="853"/>
      <c r="F2" s="284"/>
      <c r="G2" s="64" t="s">
        <v>63</v>
      </c>
      <c r="H2" s="387"/>
      <c r="I2" s="387"/>
      <c r="J2" s="387"/>
      <c r="K2" s="387"/>
      <c r="L2" s="387"/>
      <c r="M2" s="387"/>
    </row>
    <row r="3" spans="1:13" ht="15" customHeight="1" thickBot="1" x14ac:dyDescent="0.25">
      <c r="A3" s="314" t="s">
        <v>4</v>
      </c>
      <c r="B3" s="97"/>
      <c r="C3" s="97"/>
      <c r="D3" s="97"/>
      <c r="E3" s="97"/>
      <c r="F3" s="97"/>
      <c r="G3" s="138"/>
      <c r="H3" s="387"/>
      <c r="I3" s="387"/>
      <c r="J3" s="387"/>
      <c r="K3" s="387"/>
      <c r="L3" s="387"/>
      <c r="M3" s="387"/>
    </row>
    <row r="4" spans="1:13" ht="17.100000000000001" customHeight="1" thickBot="1" x14ac:dyDescent="0.25">
      <c r="A4" s="171" t="s">
        <v>167</v>
      </c>
      <c r="B4" s="172"/>
      <c r="C4" s="172"/>
      <c r="D4" s="172"/>
      <c r="E4" s="172"/>
      <c r="F4" s="286"/>
      <c r="G4" s="139"/>
      <c r="H4" s="387"/>
      <c r="I4" s="387"/>
      <c r="J4" s="387"/>
      <c r="K4" s="387"/>
      <c r="L4" s="387"/>
      <c r="M4" s="387"/>
    </row>
    <row r="5" spans="1:13" ht="17.100000000000001" customHeight="1" x14ac:dyDescent="0.2">
      <c r="A5" s="295" t="s">
        <v>72</v>
      </c>
      <c r="B5" s="227" t="s">
        <v>73</v>
      </c>
      <c r="C5" s="228"/>
      <c r="D5" s="196"/>
      <c r="E5" s="196"/>
      <c r="F5" s="296"/>
      <c r="G5" s="139"/>
      <c r="H5" s="387"/>
      <c r="I5" s="387"/>
      <c r="J5" s="387"/>
      <c r="K5" s="387"/>
      <c r="L5" s="387"/>
      <c r="M5" s="387"/>
    </row>
    <row r="6" spans="1:13" ht="15" customHeight="1" x14ac:dyDescent="0.2">
      <c r="A6" s="388" t="s">
        <v>216</v>
      </c>
      <c r="B6" s="224"/>
      <c r="C6" s="229"/>
      <c r="D6" s="389"/>
      <c r="E6" s="389"/>
      <c r="F6" s="390"/>
      <c r="G6" s="139"/>
      <c r="H6" s="387"/>
      <c r="I6" s="387"/>
      <c r="J6" s="387"/>
      <c r="K6" s="387"/>
      <c r="L6" s="387"/>
      <c r="M6" s="387"/>
    </row>
    <row r="7" spans="1:13" ht="15" customHeight="1" x14ac:dyDescent="0.2">
      <c r="A7" s="257" t="s">
        <v>217</v>
      </c>
      <c r="B7" s="391"/>
      <c r="C7" s="389"/>
      <c r="D7" s="389"/>
      <c r="E7" s="389"/>
      <c r="F7" s="390"/>
      <c r="G7" s="139"/>
      <c r="H7" s="387"/>
      <c r="I7" s="387"/>
      <c r="J7" s="387"/>
      <c r="K7" s="387"/>
      <c r="L7" s="387"/>
      <c r="M7" s="387"/>
    </row>
    <row r="8" spans="1:13" ht="15" customHeight="1" x14ac:dyDescent="0.2">
      <c r="A8" s="369" t="s">
        <v>218</v>
      </c>
      <c r="B8" s="391"/>
      <c r="C8" s="389"/>
      <c r="D8" s="389"/>
      <c r="E8" s="389"/>
      <c r="F8" s="390"/>
      <c r="G8" s="139"/>
      <c r="H8" s="387"/>
      <c r="I8" s="387"/>
      <c r="J8" s="387"/>
      <c r="K8" s="387"/>
      <c r="L8" s="387"/>
      <c r="M8" s="387"/>
    </row>
    <row r="9" spans="1:13" ht="15" customHeight="1" x14ac:dyDescent="0.2">
      <c r="A9" s="369" t="s">
        <v>219</v>
      </c>
      <c r="B9" s="174"/>
      <c r="C9" s="389"/>
      <c r="D9" s="389"/>
      <c r="E9" s="389"/>
      <c r="F9" s="390"/>
      <c r="G9" s="139"/>
      <c r="H9" s="387"/>
      <c r="I9" s="387"/>
      <c r="J9" s="387"/>
      <c r="K9" s="387"/>
      <c r="L9" s="387"/>
      <c r="M9" s="387"/>
    </row>
    <row r="10" spans="1:13" ht="15" thickBot="1" x14ac:dyDescent="0.25">
      <c r="A10" s="258" t="s">
        <v>220</v>
      </c>
      <c r="B10" s="300"/>
      <c r="C10" s="416"/>
      <c r="D10" s="416"/>
      <c r="E10" s="416"/>
      <c r="F10" s="417"/>
      <c r="G10" s="139"/>
      <c r="H10" s="387"/>
      <c r="I10" s="387"/>
      <c r="J10" s="387"/>
      <c r="K10" s="387"/>
      <c r="L10" s="387"/>
      <c r="M10" s="387"/>
    </row>
    <row r="11" spans="1:13" ht="15" customHeight="1" thickBot="1" x14ac:dyDescent="0.25">
      <c r="A11" s="85"/>
      <c r="B11" s="318" t="s">
        <v>4</v>
      </c>
      <c r="C11" s="318" t="s">
        <v>4</v>
      </c>
      <c r="D11" s="85"/>
      <c r="E11" s="85"/>
      <c r="F11" s="85"/>
      <c r="G11" s="139"/>
      <c r="H11" s="387"/>
      <c r="I11" s="387"/>
      <c r="J11" s="387"/>
      <c r="K11" s="387"/>
      <c r="L11" s="387"/>
      <c r="M11" s="387"/>
    </row>
    <row r="12" spans="1:13" ht="17.100000000000001" customHeight="1" thickBot="1" x14ac:dyDescent="0.25">
      <c r="A12" s="171" t="s">
        <v>221</v>
      </c>
      <c r="B12" s="172"/>
      <c r="C12" s="172"/>
      <c r="D12" s="172"/>
      <c r="E12" s="172"/>
      <c r="F12" s="286"/>
      <c r="G12" s="139"/>
      <c r="H12" s="387"/>
      <c r="I12" s="387"/>
      <c r="J12" s="387"/>
      <c r="K12" s="387"/>
      <c r="L12" s="387"/>
      <c r="M12" s="387"/>
    </row>
    <row r="13" spans="1:13" ht="15" customHeight="1" x14ac:dyDescent="0.2">
      <c r="A13" s="301" t="s">
        <v>222</v>
      </c>
      <c r="B13" s="221" t="s">
        <v>223</v>
      </c>
      <c r="C13" s="221" t="s">
        <v>224</v>
      </c>
      <c r="D13" s="222" t="s">
        <v>225</v>
      </c>
      <c r="E13" s="209"/>
      <c r="F13" s="345"/>
      <c r="G13" s="139"/>
      <c r="H13" s="387"/>
      <c r="I13" s="387"/>
      <c r="J13" s="387"/>
      <c r="K13" s="387"/>
      <c r="L13" s="387"/>
      <c r="M13" s="387"/>
    </row>
    <row r="14" spans="1:13" ht="15" customHeight="1" x14ac:dyDescent="0.2">
      <c r="A14" s="369" t="s">
        <v>226</v>
      </c>
      <c r="B14" s="391"/>
      <c r="C14" s="392">
        <v>25</v>
      </c>
      <c r="D14" s="393" t="s">
        <v>855</v>
      </c>
      <c r="E14" s="394"/>
      <c r="F14" s="395"/>
      <c r="G14" s="139"/>
      <c r="H14" s="387"/>
      <c r="I14" s="387"/>
      <c r="J14" s="387"/>
      <c r="K14" s="387"/>
      <c r="L14" s="387"/>
      <c r="M14" s="387"/>
    </row>
    <row r="15" spans="1:13" ht="15" customHeight="1" x14ac:dyDescent="0.2">
      <c r="A15" s="369" t="s">
        <v>227</v>
      </c>
      <c r="B15" s="391"/>
      <c r="C15" s="392">
        <v>0.66</v>
      </c>
      <c r="D15" s="393" t="s">
        <v>855</v>
      </c>
      <c r="E15" s="394"/>
      <c r="F15" s="395"/>
      <c r="G15" s="139"/>
      <c r="H15" s="387"/>
      <c r="I15" s="387"/>
      <c r="J15" s="387"/>
      <c r="K15" s="387"/>
      <c r="L15" s="387"/>
      <c r="M15" s="387"/>
    </row>
    <row r="16" spans="1:13" ht="15" customHeight="1" x14ac:dyDescent="0.2">
      <c r="A16" s="369" t="s">
        <v>228</v>
      </c>
      <c r="B16" s="396"/>
      <c r="C16" s="392">
        <v>828</v>
      </c>
      <c r="D16" s="393" t="s">
        <v>855</v>
      </c>
      <c r="E16" s="394"/>
      <c r="F16" s="395"/>
      <c r="G16" s="139"/>
      <c r="H16" s="387"/>
      <c r="I16" s="387"/>
      <c r="J16" s="387"/>
      <c r="K16" s="387"/>
      <c r="L16" s="387"/>
      <c r="M16" s="387"/>
    </row>
    <row r="17" spans="1:14" ht="15" customHeight="1" x14ac:dyDescent="0.2">
      <c r="A17" s="369" t="s">
        <v>229</v>
      </c>
      <c r="B17" s="391"/>
      <c r="C17" s="392">
        <v>168.7</v>
      </c>
      <c r="D17" s="393" t="s">
        <v>855</v>
      </c>
      <c r="E17" s="394"/>
      <c r="F17" s="395"/>
      <c r="G17" s="139"/>
      <c r="H17" s="387"/>
      <c r="I17" s="387"/>
      <c r="J17" s="387"/>
      <c r="K17" s="387"/>
      <c r="L17" s="387"/>
      <c r="M17" s="387"/>
      <c r="N17" s="387"/>
    </row>
    <row r="18" spans="1:14" ht="15" customHeight="1" x14ac:dyDescent="0.2">
      <c r="A18" s="282" t="s">
        <v>230</v>
      </c>
      <c r="B18" s="396"/>
      <c r="C18" s="392" t="s">
        <v>855</v>
      </c>
      <c r="D18" s="393" t="s">
        <v>855</v>
      </c>
      <c r="E18" s="394"/>
      <c r="F18" s="395"/>
      <c r="G18" s="139"/>
      <c r="H18" s="387"/>
      <c r="I18" s="387"/>
      <c r="J18" s="387"/>
      <c r="K18" s="387"/>
      <c r="L18" s="387"/>
      <c r="M18" s="387"/>
      <c r="N18" s="397"/>
    </row>
    <row r="19" spans="1:14" ht="15" customHeight="1" x14ac:dyDescent="0.2">
      <c r="A19" s="369" t="s">
        <v>231</v>
      </c>
      <c r="B19" s="391"/>
      <c r="C19" s="392" t="s">
        <v>855</v>
      </c>
      <c r="D19" s="393" t="s">
        <v>855</v>
      </c>
      <c r="E19" s="394"/>
      <c r="F19" s="395"/>
      <c r="G19" s="139"/>
      <c r="H19" s="387"/>
      <c r="I19" s="387"/>
      <c r="J19" s="387"/>
      <c r="K19" s="387"/>
      <c r="L19" s="387"/>
      <c r="M19" s="387"/>
      <c r="N19" s="387"/>
    </row>
    <row r="20" spans="1:14" ht="15" customHeight="1" x14ac:dyDescent="0.2">
      <c r="A20" s="369" t="s">
        <v>232</v>
      </c>
      <c r="B20" s="159"/>
      <c r="C20" s="392" t="s">
        <v>855</v>
      </c>
      <c r="D20" s="393">
        <v>15</v>
      </c>
      <c r="E20" s="394"/>
      <c r="F20" s="395"/>
      <c r="G20" s="139"/>
      <c r="H20" s="387"/>
      <c r="I20" s="387"/>
      <c r="J20" s="387"/>
      <c r="K20" s="387"/>
      <c r="L20" s="387"/>
      <c r="M20" s="387"/>
      <c r="N20" s="387"/>
    </row>
    <row r="21" spans="1:14" ht="30.75" customHeight="1" x14ac:dyDescent="0.2">
      <c r="A21" s="398" t="s">
        <v>233</v>
      </c>
      <c r="B21" s="159"/>
      <c r="C21" s="392" t="s">
        <v>855</v>
      </c>
      <c r="D21" s="393" t="s">
        <v>855</v>
      </c>
      <c r="E21" s="394"/>
      <c r="F21" s="395"/>
      <c r="G21" s="139"/>
      <c r="H21" s="387"/>
      <c r="I21" s="387"/>
      <c r="J21" s="387"/>
      <c r="K21" s="387"/>
      <c r="L21" s="387"/>
      <c r="M21" s="387"/>
      <c r="N21" s="387"/>
    </row>
    <row r="22" spans="1:14" ht="15" customHeight="1" x14ac:dyDescent="0.2">
      <c r="A22" s="398" t="s">
        <v>234</v>
      </c>
      <c r="B22" s="159"/>
      <c r="C22" s="392" t="s">
        <v>855</v>
      </c>
      <c r="D22" s="393" t="s">
        <v>855</v>
      </c>
      <c r="E22" s="394"/>
      <c r="F22" s="395"/>
      <c r="G22" s="139"/>
      <c r="H22" s="387"/>
      <c r="I22" s="387"/>
      <c r="J22" s="387"/>
      <c r="K22" s="387"/>
      <c r="L22" s="387"/>
      <c r="M22" s="387"/>
      <c r="N22" s="387"/>
    </row>
    <row r="23" spans="1:14" ht="15" customHeight="1" x14ac:dyDescent="0.2">
      <c r="A23" s="398" t="s">
        <v>235</v>
      </c>
      <c r="B23" s="159"/>
      <c r="C23" s="392" t="s">
        <v>855</v>
      </c>
      <c r="D23" s="393" t="s">
        <v>855</v>
      </c>
      <c r="E23" s="394"/>
      <c r="F23" s="395"/>
      <c r="G23" s="139"/>
      <c r="H23" s="387"/>
      <c r="I23" s="387"/>
      <c r="J23" s="387"/>
      <c r="K23" s="387"/>
      <c r="L23" s="387"/>
      <c r="M23" s="387"/>
      <c r="N23" s="387"/>
    </row>
    <row r="24" spans="1:14" ht="15" customHeight="1" x14ac:dyDescent="0.2">
      <c r="A24" s="369" t="s">
        <v>236</v>
      </c>
      <c r="B24" s="159"/>
      <c r="C24" s="392" t="s">
        <v>855</v>
      </c>
      <c r="D24" s="393">
        <v>10</v>
      </c>
      <c r="E24" s="394"/>
      <c r="F24" s="395"/>
      <c r="G24" s="139"/>
      <c r="H24" s="387"/>
      <c r="I24" s="387" t="b">
        <f>$B$21="NO"</f>
        <v>0</v>
      </c>
      <c r="J24" s="387"/>
      <c r="K24" s="387"/>
      <c r="L24" s="387"/>
      <c r="M24" s="387"/>
      <c r="N24" s="387"/>
    </row>
    <row r="25" spans="1:14" ht="15" customHeight="1" x14ac:dyDescent="0.2">
      <c r="A25" s="369" t="s">
        <v>237</v>
      </c>
      <c r="B25" s="159"/>
      <c r="C25" s="392" t="s">
        <v>855</v>
      </c>
      <c r="D25" s="393">
        <v>300</v>
      </c>
      <c r="E25" s="394"/>
      <c r="F25" s="395"/>
      <c r="G25" s="139"/>
      <c r="H25" s="387"/>
      <c r="I25" s="387"/>
      <c r="J25" s="387"/>
      <c r="K25" s="387"/>
      <c r="L25" s="387"/>
      <c r="M25" s="387"/>
      <c r="N25" s="387"/>
    </row>
    <row r="26" spans="1:14" ht="15" customHeight="1" thickBot="1" x14ac:dyDescent="0.25">
      <c r="A26" s="283" t="s">
        <v>275</v>
      </c>
      <c r="B26" s="285">
        <f>B17*60*PI()/4*B15^2*(459.67+60)/(459.67+B16)</f>
        <v>0</v>
      </c>
      <c r="C26" s="399" t="s">
        <v>855</v>
      </c>
      <c r="D26" s="400" t="s">
        <v>855</v>
      </c>
      <c r="E26" s="401"/>
      <c r="F26" s="402"/>
      <c r="G26" s="139"/>
      <c r="H26" s="387"/>
      <c r="I26" s="387"/>
      <c r="J26" s="387"/>
      <c r="K26" s="387"/>
      <c r="L26" s="387"/>
      <c r="M26" s="387"/>
      <c r="N26" s="387"/>
    </row>
    <row r="27" spans="1:14" ht="15" customHeight="1" thickBot="1" x14ac:dyDescent="0.25">
      <c r="A27" s="403"/>
      <c r="B27" s="389"/>
      <c r="C27" s="389"/>
      <c r="D27" s="389"/>
      <c r="E27" s="387"/>
      <c r="F27" s="387"/>
      <c r="G27" s="139"/>
      <c r="H27" s="387"/>
      <c r="I27" s="387"/>
      <c r="J27" s="387"/>
      <c r="K27" s="387"/>
      <c r="L27" s="387"/>
      <c r="M27" s="387"/>
      <c r="N27" s="387"/>
    </row>
    <row r="28" spans="1:14" ht="15" customHeight="1" thickBot="1" x14ac:dyDescent="0.25">
      <c r="A28" s="160" t="s">
        <v>239</v>
      </c>
      <c r="B28" s="161"/>
      <c r="C28" s="161"/>
      <c r="D28" s="161"/>
      <c r="E28" s="161"/>
      <c r="F28" s="286"/>
      <c r="G28" s="139"/>
      <c r="H28" s="387"/>
      <c r="I28" s="387"/>
      <c r="J28" s="387"/>
      <c r="K28" s="387"/>
      <c r="L28" s="387"/>
      <c r="M28" s="387"/>
      <c r="N28" s="387"/>
    </row>
    <row r="29" spans="1:14" ht="15" x14ac:dyDescent="0.2">
      <c r="A29" s="225" t="s">
        <v>240</v>
      </c>
      <c r="B29" s="63" t="s">
        <v>241</v>
      </c>
      <c r="C29" s="221" t="s">
        <v>242</v>
      </c>
      <c r="D29" s="357" t="s">
        <v>243</v>
      </c>
      <c r="E29" s="882" t="s">
        <v>244</v>
      </c>
      <c r="F29" s="867"/>
      <c r="G29" s="139"/>
      <c r="H29" s="387"/>
      <c r="I29" s="387"/>
      <c r="J29" s="387"/>
      <c r="K29" s="387"/>
      <c r="L29" s="387"/>
      <c r="M29" s="387"/>
      <c r="N29" s="387"/>
    </row>
    <row r="30" spans="1:14" x14ac:dyDescent="0.2">
      <c r="A30" s="334" t="s">
        <v>245</v>
      </c>
      <c r="B30" s="404"/>
      <c r="C30" s="392" t="s">
        <v>246</v>
      </c>
      <c r="D30" s="355"/>
      <c r="E30" s="881" t="str">
        <f>IFERROR(INDEX(Reference!$AQ$14:$AQ$17,MATCH(D30,EngDDSource,0)),"")</f>
        <v/>
      </c>
      <c r="F30" s="865"/>
      <c r="G30" s="139"/>
      <c r="H30" s="387"/>
      <c r="I30" s="387"/>
      <c r="J30" s="387"/>
      <c r="K30" s="387"/>
      <c r="L30" s="387"/>
      <c r="M30" s="387"/>
      <c r="N30" s="387"/>
    </row>
    <row r="31" spans="1:14" x14ac:dyDescent="0.2">
      <c r="A31" s="334" t="s">
        <v>247</v>
      </c>
      <c r="B31" s="404"/>
      <c r="C31" s="392" t="s">
        <v>246</v>
      </c>
      <c r="D31" s="355"/>
      <c r="E31" s="881" t="str">
        <f>IFERROR(INDEX(Reference!$AQ$14:$AQ$17,MATCH(D31,EngDDSource,0)),"")</f>
        <v/>
      </c>
      <c r="F31" s="865"/>
      <c r="G31" s="139"/>
      <c r="H31" s="387"/>
      <c r="I31" s="387"/>
      <c r="J31" s="387"/>
      <c r="K31" s="387"/>
      <c r="L31" s="387"/>
      <c r="M31" s="387"/>
      <c r="N31" s="387"/>
    </row>
    <row r="32" spans="1:14" x14ac:dyDescent="0.2">
      <c r="A32" s="334" t="s">
        <v>248</v>
      </c>
      <c r="B32" s="153"/>
      <c r="C32" s="392" t="s">
        <v>246</v>
      </c>
      <c r="D32" s="355"/>
      <c r="E32" s="881" t="str">
        <f>IFERROR(INDEX(Reference!$AQ$14:$AQ$17,MATCH(D32,EngDDSource,0)),"")</f>
        <v/>
      </c>
      <c r="F32" s="865"/>
      <c r="G32" s="139"/>
      <c r="H32" s="387"/>
      <c r="I32" s="387"/>
      <c r="J32" s="387"/>
      <c r="K32" s="387"/>
      <c r="L32" s="387"/>
      <c r="M32" s="387"/>
      <c r="N32" s="387"/>
    </row>
    <row r="33" spans="1:13" x14ac:dyDescent="0.2">
      <c r="A33" s="334" t="s">
        <v>249</v>
      </c>
      <c r="B33" s="153"/>
      <c r="C33" s="392" t="s">
        <v>246</v>
      </c>
      <c r="D33" s="355"/>
      <c r="E33" s="881" t="str">
        <f>IFERROR(INDEX(Reference!$AQ$14:$AQ$17,MATCH(D33,EngDDSource,0)),"")</f>
        <v/>
      </c>
      <c r="F33" s="865"/>
      <c r="G33" s="139"/>
      <c r="H33" s="387"/>
      <c r="I33" s="387"/>
      <c r="J33" s="387"/>
      <c r="K33" s="387"/>
      <c r="L33" s="387"/>
      <c r="M33" s="387"/>
    </row>
    <row r="34" spans="1:13" x14ac:dyDescent="0.2">
      <c r="A34" s="334" t="s">
        <v>250</v>
      </c>
      <c r="B34" s="153"/>
      <c r="C34" s="392" t="s">
        <v>246</v>
      </c>
      <c r="D34" s="355"/>
      <c r="E34" s="881" t="str">
        <f>IFERROR(INDEX(Reference!$AQ$14:$AQ$17,MATCH(D34,EngDDSource,0)),"")</f>
        <v/>
      </c>
      <c r="F34" s="865"/>
      <c r="G34" s="139"/>
      <c r="H34" s="387"/>
      <c r="I34" s="387"/>
      <c r="J34" s="387"/>
      <c r="K34" s="387"/>
      <c r="L34" s="387"/>
      <c r="M34" s="387"/>
    </row>
    <row r="35" spans="1:13" x14ac:dyDescent="0.2">
      <c r="A35" s="334" t="s">
        <v>251</v>
      </c>
      <c r="B35" s="404"/>
      <c r="C35" s="392" t="s">
        <v>246</v>
      </c>
      <c r="D35" s="355"/>
      <c r="E35" s="881" t="str">
        <f>IFERROR(INDEX(Reference!$AQ$14:$AQ$17,MATCH(D35,EngDDSource,0)),"")</f>
        <v/>
      </c>
      <c r="F35" s="865"/>
      <c r="G35" s="139"/>
      <c r="H35" s="387"/>
      <c r="I35" s="387"/>
      <c r="J35" s="387"/>
      <c r="K35" s="387"/>
      <c r="L35" s="387"/>
      <c r="M35" s="387"/>
    </row>
    <row r="36" spans="1:13" ht="33.75" customHeight="1" x14ac:dyDescent="0.2">
      <c r="A36" s="334" t="s">
        <v>252</v>
      </c>
      <c r="B36" s="155" t="s">
        <v>855</v>
      </c>
      <c r="C36" s="392" t="s">
        <v>855</v>
      </c>
      <c r="D36" s="356" t="s">
        <v>253</v>
      </c>
      <c r="E36" s="881" t="s">
        <v>254</v>
      </c>
      <c r="F36" s="865"/>
      <c r="G36" s="139"/>
      <c r="H36" s="387"/>
      <c r="I36" s="387"/>
      <c r="J36" s="387"/>
      <c r="K36" s="387"/>
      <c r="L36" s="387"/>
      <c r="M36" s="387"/>
    </row>
    <row r="37" spans="1:13" ht="33.75" customHeight="1" x14ac:dyDescent="0.2">
      <c r="A37" s="334" t="s">
        <v>255</v>
      </c>
      <c r="B37" s="155" t="s">
        <v>855</v>
      </c>
      <c r="C37" s="392" t="s">
        <v>855</v>
      </c>
      <c r="D37" s="356" t="s">
        <v>253</v>
      </c>
      <c r="E37" s="881" t="s">
        <v>256</v>
      </c>
      <c r="F37" s="865"/>
      <c r="G37" s="139"/>
      <c r="H37" s="387"/>
      <c r="I37" s="387"/>
      <c r="J37" s="387"/>
      <c r="K37" s="387"/>
      <c r="L37" s="387"/>
      <c r="M37" s="387"/>
    </row>
    <row r="38" spans="1:13" ht="33.75" customHeight="1" thickBot="1" x14ac:dyDescent="0.25">
      <c r="A38" s="337" t="s">
        <v>257</v>
      </c>
      <c r="B38" s="341" t="s">
        <v>855</v>
      </c>
      <c r="C38" s="341" t="s">
        <v>855</v>
      </c>
      <c r="D38" s="358" t="s">
        <v>253</v>
      </c>
      <c r="E38" s="876" t="s">
        <v>258</v>
      </c>
      <c r="F38" s="877"/>
      <c r="G38" s="139"/>
      <c r="H38" s="387"/>
      <c r="I38" s="387" t="b">
        <f>$I$24</f>
        <v>0</v>
      </c>
      <c r="J38" s="387"/>
      <c r="K38" s="387"/>
      <c r="L38" s="387"/>
      <c r="M38" s="387"/>
    </row>
    <row r="39" spans="1:13" ht="15" customHeight="1" thickBot="1" x14ac:dyDescent="0.25">
      <c r="A39" s="403"/>
      <c r="B39" s="389"/>
      <c r="C39" s="389"/>
      <c r="D39" s="389"/>
      <c r="E39" s="387"/>
      <c r="F39" s="387"/>
      <c r="G39" s="139"/>
      <c r="H39" s="387"/>
      <c r="I39" s="387"/>
      <c r="J39" s="387"/>
      <c r="K39" s="387"/>
      <c r="L39" s="387"/>
      <c r="M39" s="387"/>
    </row>
    <row r="40" spans="1:13" ht="17.100000000000001" customHeight="1" thickBot="1" x14ac:dyDescent="0.25">
      <c r="A40" s="160" t="s">
        <v>259</v>
      </c>
      <c r="B40" s="161"/>
      <c r="C40" s="161"/>
      <c r="D40" s="161"/>
      <c r="E40" s="161"/>
      <c r="F40" s="286"/>
      <c r="G40" s="139"/>
      <c r="H40" s="387"/>
      <c r="I40" s="387"/>
      <c r="J40" s="387"/>
      <c r="K40" s="387"/>
      <c r="L40" s="387"/>
      <c r="M40" s="387"/>
    </row>
    <row r="41" spans="1:13" ht="46.5" customHeight="1" x14ac:dyDescent="0.2">
      <c r="A41" s="733" t="s">
        <v>260</v>
      </c>
      <c r="B41" s="842"/>
      <c r="C41" s="842"/>
      <c r="D41" s="842"/>
      <c r="E41" s="842"/>
      <c r="F41" s="868"/>
      <c r="G41" s="139"/>
      <c r="H41" s="387"/>
      <c r="I41" s="387"/>
      <c r="J41" s="387"/>
      <c r="K41" s="387"/>
      <c r="L41" s="387"/>
      <c r="M41" s="387"/>
    </row>
    <row r="42" spans="1:13" ht="49.5" customHeight="1" x14ac:dyDescent="0.2">
      <c r="A42" s="225" t="s">
        <v>240</v>
      </c>
      <c r="B42" s="221" t="s">
        <v>261</v>
      </c>
      <c r="C42" s="221" t="s">
        <v>262</v>
      </c>
      <c r="D42" s="221" t="s">
        <v>263</v>
      </c>
      <c r="E42" s="222" t="s">
        <v>264</v>
      </c>
      <c r="F42" s="343"/>
      <c r="G42" s="139"/>
      <c r="H42" s="387"/>
      <c r="I42" s="387"/>
      <c r="J42" s="387"/>
      <c r="K42" s="387"/>
      <c r="L42" s="387"/>
      <c r="M42" s="387"/>
    </row>
    <row r="43" spans="1:13" ht="15" customHeight="1" x14ac:dyDescent="0.2">
      <c r="A43" s="405" t="s">
        <v>245</v>
      </c>
      <c r="B43" s="406">
        <f t="shared" ref="B43:B48" si="0">$B$18*B30/453.6</f>
        <v>0</v>
      </c>
      <c r="C43" s="407">
        <v>1.85</v>
      </c>
      <c r="D43" s="406">
        <f t="shared" ref="D43:D51" si="1">B43*$B$25/2000</f>
        <v>0</v>
      </c>
      <c r="E43" s="393">
        <v>0.27750000000000002</v>
      </c>
      <c r="F43" s="390"/>
      <c r="G43" s="139"/>
      <c r="H43" s="387"/>
      <c r="I43" s="387"/>
      <c r="J43" s="387" t="b">
        <f>$B43&gt;$C43</f>
        <v>0</v>
      </c>
      <c r="K43" s="387"/>
      <c r="L43" s="387" t="b">
        <f>$D43&gt;$E43</f>
        <v>0</v>
      </c>
      <c r="M43" s="387"/>
    </row>
    <row r="44" spans="1:13" ht="15" customHeight="1" x14ac:dyDescent="0.2">
      <c r="A44" s="405" t="s">
        <v>247</v>
      </c>
      <c r="B44" s="406">
        <f t="shared" si="0"/>
        <v>0</v>
      </c>
      <c r="C44" s="407">
        <v>5.43</v>
      </c>
      <c r="D44" s="406">
        <f t="shared" si="1"/>
        <v>0</v>
      </c>
      <c r="E44" s="393" t="s">
        <v>855</v>
      </c>
      <c r="F44" s="390"/>
      <c r="G44" s="139"/>
      <c r="H44" s="387"/>
      <c r="I44" s="387"/>
      <c r="J44" s="387" t="b">
        <f t="shared" ref="J44:J51" si="2">$B44&gt;$C44</f>
        <v>0</v>
      </c>
      <c r="K44" s="387"/>
      <c r="L44" s="387"/>
      <c r="M44" s="387"/>
    </row>
    <row r="45" spans="1:13" ht="15" customHeight="1" x14ac:dyDescent="0.2">
      <c r="A45" s="405" t="s">
        <v>248</v>
      </c>
      <c r="B45" s="406">
        <f t="shared" si="0"/>
        <v>0</v>
      </c>
      <c r="C45" s="392" t="s">
        <v>855</v>
      </c>
      <c r="D45" s="406">
        <f t="shared" si="1"/>
        <v>0</v>
      </c>
      <c r="E45" s="393" t="s">
        <v>855</v>
      </c>
      <c r="F45" s="390"/>
      <c r="G45" s="139"/>
      <c r="H45" s="387"/>
      <c r="I45" s="387"/>
      <c r="J45" s="387"/>
      <c r="K45" s="387"/>
      <c r="L45" s="387"/>
      <c r="M45" s="387"/>
    </row>
    <row r="46" spans="1:13" ht="15" customHeight="1" x14ac:dyDescent="0.2">
      <c r="A46" s="405" t="s">
        <v>249</v>
      </c>
      <c r="B46" s="406">
        <f t="shared" si="0"/>
        <v>0</v>
      </c>
      <c r="C46" s="408">
        <v>2.1999999999999999E-2</v>
      </c>
      <c r="D46" s="406">
        <f t="shared" si="1"/>
        <v>0</v>
      </c>
      <c r="E46" s="393" t="s">
        <v>855</v>
      </c>
      <c r="F46" s="390"/>
      <c r="G46" s="139"/>
      <c r="H46" s="387"/>
      <c r="I46" s="387"/>
      <c r="J46" s="387" t="b">
        <f t="shared" si="2"/>
        <v>0</v>
      </c>
      <c r="K46" s="387"/>
      <c r="L46" s="387"/>
      <c r="M46" s="387"/>
    </row>
    <row r="47" spans="1:13" ht="15" customHeight="1" x14ac:dyDescent="0.2">
      <c r="A47" s="405" t="s">
        <v>250</v>
      </c>
      <c r="B47" s="406">
        <f t="shared" si="0"/>
        <v>0</v>
      </c>
      <c r="C47" s="408">
        <v>2.1999999999999999E-2</v>
      </c>
      <c r="D47" s="406">
        <f t="shared" si="1"/>
        <v>0</v>
      </c>
      <c r="E47" s="393">
        <v>3.3999999999999998E-3</v>
      </c>
      <c r="F47" s="390"/>
      <c r="G47" s="139"/>
      <c r="H47" s="387"/>
      <c r="I47" s="387"/>
      <c r="J47" s="387" t="b">
        <f t="shared" si="2"/>
        <v>0</v>
      </c>
      <c r="K47" s="387"/>
      <c r="L47" s="387" t="b">
        <f t="shared" ref="L47:L51" si="3">$D47&gt;$E47</f>
        <v>0</v>
      </c>
      <c r="M47" s="387"/>
    </row>
    <row r="48" spans="1:13" ht="15" customHeight="1" x14ac:dyDescent="0.2">
      <c r="A48" s="405" t="s">
        <v>251</v>
      </c>
      <c r="B48" s="406">
        <f t="shared" si="0"/>
        <v>0</v>
      </c>
      <c r="C48" s="392" t="s">
        <v>855</v>
      </c>
      <c r="D48" s="406">
        <f t="shared" si="1"/>
        <v>0</v>
      </c>
      <c r="E48" s="393" t="s">
        <v>855</v>
      </c>
      <c r="F48" s="390"/>
      <c r="G48" s="139"/>
      <c r="H48" s="387"/>
      <c r="I48" s="387"/>
      <c r="J48" s="387"/>
      <c r="K48" s="387"/>
      <c r="L48" s="387"/>
      <c r="M48" s="387"/>
    </row>
    <row r="49" spans="1:13" ht="15" customHeight="1" x14ac:dyDescent="0.2">
      <c r="A49" s="405" t="s">
        <v>252</v>
      </c>
      <c r="B49" s="406">
        <f>$B$19*7.05*$B$18*($B$20/1000000)*(64/32)</f>
        <v>0</v>
      </c>
      <c r="C49" s="408">
        <v>5.8999999999999997E-2</v>
      </c>
      <c r="D49" s="406">
        <f t="shared" si="1"/>
        <v>0</v>
      </c>
      <c r="E49" s="393">
        <v>8.8000000000000005E-3</v>
      </c>
      <c r="F49" s="390"/>
      <c r="G49" s="139"/>
      <c r="H49" s="387"/>
      <c r="I49" s="387"/>
      <c r="J49" s="387" t="b">
        <f t="shared" si="2"/>
        <v>0</v>
      </c>
      <c r="K49" s="387"/>
      <c r="L49" s="387" t="b">
        <f t="shared" si="3"/>
        <v>0</v>
      </c>
      <c r="M49" s="387"/>
    </row>
    <row r="50" spans="1:13" ht="15" customHeight="1" x14ac:dyDescent="0.2">
      <c r="A50" s="405" t="s">
        <v>255</v>
      </c>
      <c r="B50" s="406">
        <f>$B$49*(1/64.06)*(0.1/1)*98.07</f>
        <v>0</v>
      </c>
      <c r="C50" s="409">
        <v>5.7000000000000002E-3</v>
      </c>
      <c r="D50" s="406">
        <f t="shared" si="1"/>
        <v>0</v>
      </c>
      <c r="E50" s="393" t="s">
        <v>855</v>
      </c>
      <c r="F50" s="390"/>
      <c r="G50" s="139"/>
      <c r="H50" s="387"/>
      <c r="I50" s="387"/>
      <c r="J50" s="387" t="b">
        <f t="shared" si="2"/>
        <v>0</v>
      </c>
      <c r="K50" s="387"/>
      <c r="L50" s="387"/>
      <c r="M50" s="387"/>
    </row>
    <row r="51" spans="1:13" ht="15" customHeight="1" x14ac:dyDescent="0.2">
      <c r="A51" s="410" t="s">
        <v>257</v>
      </c>
      <c r="B51" s="619">
        <f>IF(B21="no",0,$B$24*(17/379)*$B$26*(60/1000000))</f>
        <v>0</v>
      </c>
      <c r="C51" s="226">
        <v>0.129</v>
      </c>
      <c r="D51" s="621">
        <f t="shared" si="1"/>
        <v>0</v>
      </c>
      <c r="E51" s="412">
        <v>1.9300000000000001E-2</v>
      </c>
      <c r="F51" s="390"/>
      <c r="G51" s="139"/>
      <c r="H51" s="387"/>
      <c r="I51" s="387" t="b">
        <f>$I$24</f>
        <v>0</v>
      </c>
      <c r="J51" s="387" t="b">
        <f t="shared" si="2"/>
        <v>0</v>
      </c>
      <c r="K51" s="387"/>
      <c r="L51" s="387" t="b">
        <f t="shared" si="3"/>
        <v>0</v>
      </c>
      <c r="M51" s="387"/>
    </row>
    <row r="52" spans="1:13" ht="90.75" customHeight="1" thickBot="1" x14ac:dyDescent="0.25">
      <c r="A52" s="878" t="s">
        <v>265</v>
      </c>
      <c r="B52" s="844"/>
      <c r="C52" s="844"/>
      <c r="D52" s="844"/>
      <c r="E52" s="844"/>
      <c r="F52" s="879"/>
      <c r="G52" s="139"/>
      <c r="H52" s="387"/>
      <c r="I52" s="387"/>
      <c r="J52" s="387"/>
      <c r="K52" s="387"/>
      <c r="L52" s="387"/>
      <c r="M52" s="387"/>
    </row>
    <row r="53" spans="1:13" ht="15" customHeight="1" thickBot="1" x14ac:dyDescent="0.25">
      <c r="A53" s="316"/>
      <c r="B53" s="154"/>
      <c r="C53" s="154"/>
      <c r="D53" s="154"/>
      <c r="E53" s="154"/>
      <c r="F53" s="154"/>
      <c r="G53" s="139"/>
      <c r="H53" s="387"/>
      <c r="I53" s="387"/>
      <c r="J53" s="387"/>
      <c r="K53" s="387"/>
      <c r="L53" s="387"/>
      <c r="M53" s="387"/>
    </row>
    <row r="54" spans="1:13" ht="17.100000000000001" customHeight="1" thickBot="1" x14ac:dyDescent="0.25">
      <c r="A54" s="194" t="s">
        <v>266</v>
      </c>
      <c r="B54" s="195"/>
      <c r="C54" s="195"/>
      <c r="D54" s="195"/>
      <c r="E54" s="195"/>
      <c r="F54" s="286"/>
      <c r="G54" s="139"/>
      <c r="H54" s="387"/>
      <c r="I54" s="387"/>
      <c r="J54" s="387"/>
      <c r="K54" s="387"/>
      <c r="L54" s="387"/>
      <c r="M54" s="387"/>
    </row>
    <row r="55" spans="1:13" ht="20.100000000000001" customHeight="1" thickBot="1" x14ac:dyDescent="0.25">
      <c r="A55" s="413" t="s">
        <v>267</v>
      </c>
      <c r="B55" s="414"/>
      <c r="C55" s="414"/>
      <c r="D55" s="414"/>
      <c r="E55" s="414"/>
      <c r="F55" s="415"/>
      <c r="G55" s="139"/>
      <c r="H55" s="387"/>
      <c r="I55" s="387"/>
      <c r="J55" s="387"/>
      <c r="K55" s="387"/>
      <c r="L55" s="387"/>
      <c r="M55" s="387"/>
    </row>
    <row r="56" spans="1:13" ht="20.100000000000001" customHeight="1" x14ac:dyDescent="0.2">
      <c r="A56" s="204" t="s">
        <v>268</v>
      </c>
      <c r="B56" s="201"/>
      <c r="C56" s="201"/>
      <c r="D56" s="201"/>
      <c r="E56" s="201"/>
      <c r="F56" s="352"/>
      <c r="G56" s="139"/>
      <c r="H56" s="387"/>
      <c r="I56" s="387"/>
      <c r="J56" s="387"/>
      <c r="K56" s="387"/>
      <c r="L56" s="387"/>
      <c r="M56" s="387"/>
    </row>
    <row r="57" spans="1:13" customFormat="1" ht="20.100000000000001" customHeight="1" x14ac:dyDescent="0.2">
      <c r="A57" s="90" t="str">
        <f>"("&amp;TEXT($B$18,"#,##0")&amp;" hp × "&amp;$B$30&amp;" g/hp-hr)"&amp;" ÷ 453.6 lb/g = "&amp;TEXT(($B$18*B30)/453.6,"#,##0.00##")&amp;" lb/hr"</f>
        <v>(0 hp ×  g/hp-hr) ÷ 453.6 lb/g = 0.00 lb/hr</v>
      </c>
      <c r="B57" s="91"/>
      <c r="C57" s="91"/>
      <c r="D57" s="91"/>
      <c r="E57" s="91"/>
      <c r="F57" s="91"/>
      <c r="G57" s="193"/>
    </row>
    <row r="58" spans="1:13" ht="20.100000000000001" customHeight="1" x14ac:dyDescent="0.2">
      <c r="A58" s="205" t="s">
        <v>269</v>
      </c>
      <c r="B58" s="206"/>
      <c r="C58" s="206"/>
      <c r="D58" s="206"/>
      <c r="E58" s="206"/>
      <c r="F58" s="354"/>
      <c r="G58" s="139"/>
      <c r="H58" s="387"/>
      <c r="I58" s="387"/>
      <c r="J58" s="387"/>
      <c r="K58" s="387"/>
      <c r="L58" s="387"/>
      <c r="M58" s="387"/>
    </row>
    <row r="59" spans="1:13" customFormat="1" ht="20.100000000000001" customHeight="1" x14ac:dyDescent="0.2">
      <c r="A59" s="869" t="str">
        <f>"("&amp;TEXT(B19,"#,##0")&amp;" gal diesel/hp-hr × 7.05 lb diesel/gal diesel × "&amp;TEXT($B$18,"#,##0")&amp;" hp)"&amp;" × ("&amp;$B$20&amp;" lb S ÷ 1,000,000 lb diesel)"&amp;" × (64 lb SO2 ÷ 32 lb S) = "&amp;TEXT($B$19*7.05*$B$18*($B$20/1000000)*(64/32),"#,##0.00##")&amp;" lb/hr"</f>
        <v>(0 gal diesel/hp-hr × 7.05 lb diesel/gal diesel × 0 hp) × ( lb S ÷ 1,000,000 lb diesel) × (64 lb SO2 ÷ 32 lb S) = 0.00 lb/hr</v>
      </c>
      <c r="B59" s="870"/>
      <c r="C59" s="870"/>
      <c r="D59" s="870"/>
      <c r="E59" s="870"/>
      <c r="F59" s="871"/>
      <c r="G59" s="193"/>
    </row>
    <row r="60" spans="1:13" ht="20.100000000000001" customHeight="1" x14ac:dyDescent="0.2">
      <c r="A60" s="353" t="s">
        <v>270</v>
      </c>
      <c r="B60" s="271"/>
      <c r="C60" s="271"/>
      <c r="D60" s="271"/>
      <c r="E60" s="271"/>
      <c r="F60" s="271"/>
      <c r="G60" s="139"/>
      <c r="H60" s="387"/>
      <c r="I60" s="387"/>
      <c r="J60" s="387"/>
      <c r="K60" s="387"/>
      <c r="L60" s="387"/>
      <c r="M60" s="387"/>
    </row>
    <row r="61" spans="1:13" customFormat="1" ht="30" customHeight="1" x14ac:dyDescent="0.2">
      <c r="A61" s="707" t="str">
        <f>"("&amp;TEXT($B$49,"#,##0.00")&amp;" lb/hr) × (1 lb mol SO2 ÷ 64.06 lb SO2) × (0.1 lb mol SO3 ÷ 1 lb mol SO2) × (1 lb mol H2SO4 ÷ 1 lb mol SO3) × (98.07 lb H2SO4 ÷ 1 lb mol H2SO4) = "&amp;TEXT($B$49*(1/64.06)*(0.1/1)*98.07,"#,##0.00##")&amp;" lb/hr"</f>
        <v>(0.00 lb/hr) × (1 lb mol SO2 ÷ 64.06 lb SO2) × (0.1 lb mol SO3 ÷ 1 lb mol SO2) × (1 lb mol H2SO4 ÷ 1 lb mol SO3) × (98.07 lb H2SO4 ÷ 1 lb mol H2SO4) = 0.00 lb/hr</v>
      </c>
      <c r="B61" s="859"/>
      <c r="C61" s="859"/>
      <c r="D61" s="859"/>
      <c r="E61" s="859"/>
      <c r="F61" s="860"/>
      <c r="G61" s="193"/>
    </row>
    <row r="62" spans="1:13" ht="20.100000000000001" customHeight="1" x14ac:dyDescent="0.2">
      <c r="A62" s="90" t="s">
        <v>271</v>
      </c>
      <c r="B62" s="415"/>
      <c r="C62" s="415"/>
      <c r="D62" s="415"/>
      <c r="E62" s="415"/>
      <c r="F62" s="415"/>
      <c r="G62" s="139"/>
      <c r="H62" s="387"/>
      <c r="I62" s="387"/>
      <c r="J62" s="387"/>
      <c r="K62" s="387"/>
      <c r="L62" s="387"/>
      <c r="M62" s="387"/>
    </row>
    <row r="63" spans="1:13" ht="20.100000000000001" customHeight="1" x14ac:dyDescent="0.2">
      <c r="A63" s="205" t="s">
        <v>272</v>
      </c>
      <c r="B63" s="206"/>
      <c r="C63" s="206"/>
      <c r="D63" s="206"/>
      <c r="E63" s="206"/>
      <c r="F63" s="354"/>
      <c r="G63" s="139"/>
      <c r="H63" s="387"/>
      <c r="I63" s="387" t="b">
        <f>$I$24</f>
        <v>0</v>
      </c>
      <c r="J63" s="387"/>
      <c r="K63" s="387"/>
      <c r="L63" s="387"/>
      <c r="M63" s="387"/>
    </row>
    <row r="64" spans="1:13" customFormat="1" ht="20.100000000000001" customHeight="1" x14ac:dyDescent="0.2">
      <c r="A64" s="869" t="str">
        <f>"("&amp;TEXT($B$24,"#,##0.00")&amp;" ppm NH3 × 17 lb NH3/lb-mol × "&amp;TEXT($B$26,"#,##0.00")&amp;" scf/min × 60 min/hr) ÷ (379.00 dscf/lb-mol × 1000000) = "&amp;TEXT($B$24*(17/379)*$B$26*(60/1000000),"#,##0.00##")&amp;" lb/hr"</f>
        <v>(0.00 ppm NH3 × 17 lb NH3/lb-mol × 0.00 scf/min × 60 min/hr) ÷ (379.00 dscf/lb-mol × 1000000) = 0.00 lb/hr</v>
      </c>
      <c r="B64" s="870"/>
      <c r="C64" s="870"/>
      <c r="D64" s="870"/>
      <c r="E64" s="870"/>
      <c r="F64" s="871"/>
      <c r="G64" s="193"/>
      <c r="I64" t="b">
        <f>$I$24</f>
        <v>0</v>
      </c>
    </row>
    <row r="65" spans="1:13" ht="20.100000000000001" customHeight="1" x14ac:dyDescent="0.2">
      <c r="A65" s="353" t="s">
        <v>273</v>
      </c>
      <c r="B65" s="271"/>
      <c r="C65" s="271"/>
      <c r="D65" s="271"/>
      <c r="E65" s="271"/>
      <c r="F65" s="271"/>
      <c r="G65" s="139"/>
      <c r="H65" s="387"/>
      <c r="I65" s="387"/>
      <c r="J65" s="387"/>
      <c r="K65" s="387"/>
      <c r="L65" s="387"/>
      <c r="M65" s="387"/>
    </row>
    <row r="66" spans="1:13" customFormat="1" ht="20.100000000000001" customHeight="1" thickBot="1" x14ac:dyDescent="0.25">
      <c r="A66" s="207" t="str">
        <f>"("&amp;TEXT($B$43,"#,##0.00")&amp;" lb/hr × "&amp;$B$25&amp;" hr/yr)"&amp;" ÷  2000 lb/ton = "&amp;TEXT(($B$43*$B$25)/2000,"#,##0.00##")&amp;" tpy"</f>
        <v>(0.00 lb/hr ×  hr/yr) ÷  2000 lb/ton = 0.00 tpy</v>
      </c>
      <c r="B66" s="208"/>
      <c r="C66" s="208"/>
      <c r="D66" s="208"/>
      <c r="E66" s="208"/>
      <c r="F66" s="208"/>
      <c r="G66" s="143"/>
    </row>
    <row r="67" spans="1:13" ht="8.4499999999999993" customHeight="1" x14ac:dyDescent="0.2">
      <c r="A67" s="313"/>
      <c r="B67" s="164"/>
      <c r="C67" s="164"/>
      <c r="D67" s="164"/>
      <c r="E67" s="164"/>
      <c r="F67" s="164"/>
      <c r="G67" s="164"/>
      <c r="H67" s="15"/>
      <c r="I67" s="387"/>
      <c r="J67" s="387"/>
      <c r="K67" s="387"/>
      <c r="L67" s="387"/>
      <c r="M67" s="387"/>
    </row>
    <row r="68" spans="1:13" x14ac:dyDescent="0.2">
      <c r="A68" s="790" t="str">
        <f>HYPERLINK("#Sheet_Eng6","End of sheet. Click here to move to the next sheet.")</f>
        <v>End of sheet. Click here to move to the next sheet.</v>
      </c>
      <c r="B68" s="858"/>
      <c r="C68" s="858"/>
      <c r="D68" s="858"/>
      <c r="E68" s="858"/>
      <c r="F68" s="858"/>
      <c r="G68" s="147"/>
      <c r="H68" s="387"/>
      <c r="I68" s="387"/>
      <c r="J68" s="387"/>
      <c r="K68" s="387"/>
      <c r="L68" s="387"/>
      <c r="M68" s="387"/>
    </row>
    <row r="69" spans="1:13" ht="8.4499999999999993" hidden="1" customHeight="1" x14ac:dyDescent="0.2">
      <c r="A69" s="85"/>
      <c r="B69" s="85"/>
      <c r="C69" s="85"/>
      <c r="D69" s="85"/>
      <c r="E69" s="85"/>
      <c r="F69" s="85"/>
      <c r="G69" s="85"/>
      <c r="H69" s="387"/>
      <c r="I69" s="387"/>
      <c r="J69" s="387"/>
      <c r="K69" s="387"/>
      <c r="L69" s="387"/>
      <c r="M69" s="387"/>
    </row>
    <row r="70" spans="1:13" hidden="1" x14ac:dyDescent="0.2">
      <c r="A70" s="387"/>
      <c r="B70" s="387"/>
      <c r="C70" s="387"/>
      <c r="D70" s="387"/>
      <c r="E70" s="387"/>
      <c r="F70" s="387"/>
      <c r="G70" s="387"/>
      <c r="H70" s="387"/>
      <c r="I70" s="387"/>
      <c r="J70" s="387"/>
      <c r="K70" s="387"/>
      <c r="L70" s="387"/>
      <c r="M70" s="387"/>
    </row>
    <row r="71" spans="1:13" hidden="1" x14ac:dyDescent="0.2">
      <c r="A71" s="387"/>
      <c r="B71" s="387"/>
      <c r="C71" s="387"/>
      <c r="D71" s="387"/>
      <c r="E71" s="387"/>
      <c r="F71" s="387"/>
      <c r="G71" s="387"/>
      <c r="H71" s="387"/>
      <c r="I71" s="387"/>
      <c r="J71" s="387"/>
      <c r="K71" s="387"/>
      <c r="L71" s="387"/>
      <c r="M71" s="387"/>
    </row>
    <row r="72" spans="1:13" hidden="1" x14ac:dyDescent="0.2">
      <c r="A72" s="387"/>
      <c r="B72" s="387"/>
      <c r="C72" s="387"/>
      <c r="D72" s="387"/>
      <c r="E72" s="387"/>
      <c r="F72" s="387"/>
      <c r="G72" s="387"/>
      <c r="H72" s="387"/>
      <c r="I72" s="387"/>
      <c r="J72" s="387"/>
      <c r="K72" s="387"/>
      <c r="L72" s="387"/>
      <c r="M72" s="387"/>
    </row>
    <row r="73" spans="1:13" hidden="1" x14ac:dyDescent="0.2">
      <c r="A73" s="387"/>
      <c r="B73" s="387"/>
      <c r="C73" s="387"/>
      <c r="D73" s="387"/>
      <c r="E73" s="387"/>
      <c r="F73" s="387"/>
      <c r="G73" s="387"/>
      <c r="H73" s="387"/>
      <c r="I73" s="387"/>
      <c r="J73" s="387"/>
      <c r="K73" s="387"/>
      <c r="L73" s="387"/>
      <c r="M73" s="387"/>
    </row>
    <row r="74" spans="1:13" hidden="1" x14ac:dyDescent="0.2">
      <c r="A74" s="387"/>
      <c r="B74" s="387"/>
      <c r="C74" s="387"/>
      <c r="D74" s="387"/>
      <c r="E74" s="387"/>
      <c r="F74" s="387"/>
      <c r="G74" s="387"/>
      <c r="H74" s="387"/>
      <c r="I74" s="387"/>
      <c r="J74" s="387"/>
      <c r="K74" s="387"/>
      <c r="L74" s="387"/>
      <c r="M74" s="387"/>
    </row>
    <row r="75" spans="1:13" hidden="1" x14ac:dyDescent="0.2">
      <c r="A75" s="387"/>
      <c r="B75" s="387"/>
      <c r="C75" s="387"/>
      <c r="D75" s="387"/>
      <c r="E75" s="387"/>
      <c r="F75" s="387"/>
      <c r="G75" s="387"/>
      <c r="H75" s="387"/>
      <c r="I75" s="387"/>
      <c r="J75" s="387"/>
      <c r="K75" s="387"/>
      <c r="L75" s="387"/>
      <c r="M75" s="387"/>
    </row>
    <row r="76" spans="1:13" hidden="1" x14ac:dyDescent="0.2">
      <c r="A76" s="387"/>
      <c r="B76" s="387"/>
      <c r="C76" s="387"/>
      <c r="D76" s="387"/>
      <c r="E76" s="387"/>
      <c r="F76" s="387"/>
      <c r="G76" s="387"/>
      <c r="H76" s="387"/>
      <c r="I76" s="387"/>
      <c r="J76" s="387"/>
      <c r="K76" s="387"/>
      <c r="L76" s="387"/>
      <c r="M76" s="387"/>
    </row>
    <row r="77" spans="1:13" hidden="1" x14ac:dyDescent="0.2">
      <c r="A77" s="387"/>
      <c r="B77" s="387"/>
      <c r="C77" s="387"/>
      <c r="D77" s="387"/>
      <c r="E77" s="387"/>
      <c r="F77" s="387"/>
      <c r="G77" s="387"/>
      <c r="H77" s="387"/>
      <c r="I77" s="387"/>
      <c r="J77" s="387"/>
      <c r="K77" s="387"/>
      <c r="L77" s="387"/>
      <c r="M77" s="387"/>
    </row>
    <row r="78" spans="1:13" hidden="1" x14ac:dyDescent="0.2">
      <c r="A78" s="387"/>
      <c r="B78" s="387"/>
      <c r="C78" s="387"/>
      <c r="D78" s="387"/>
      <c r="E78" s="387"/>
      <c r="F78" s="387"/>
      <c r="G78" s="387"/>
      <c r="H78" s="387"/>
      <c r="I78" s="387"/>
      <c r="J78" s="387"/>
      <c r="K78" s="387"/>
      <c r="L78" s="387"/>
      <c r="M78" s="387"/>
    </row>
    <row r="79" spans="1:13" hidden="1" x14ac:dyDescent="0.2">
      <c r="A79" s="387"/>
      <c r="B79" s="387"/>
      <c r="C79" s="387"/>
      <c r="D79" s="387"/>
      <c r="E79" s="387"/>
      <c r="F79" s="387"/>
      <c r="G79" s="387"/>
      <c r="H79" s="387"/>
      <c r="I79" s="387"/>
      <c r="J79" s="387"/>
      <c r="K79" s="387"/>
      <c r="L79" s="387"/>
      <c r="M79" s="387"/>
    </row>
    <row r="80" spans="1:13" hidden="1" x14ac:dyDescent="0.2">
      <c r="A80" s="387"/>
      <c r="B80" s="387"/>
      <c r="C80" s="387"/>
      <c r="D80" s="387"/>
      <c r="E80" s="387"/>
      <c r="F80" s="387"/>
      <c r="G80" s="387"/>
      <c r="H80" s="387"/>
      <c r="I80" s="387"/>
      <c r="J80" s="387"/>
      <c r="K80" s="387"/>
      <c r="L80" s="387"/>
      <c r="M80" s="387"/>
    </row>
    <row r="81" spans="1:13" hidden="1" x14ac:dyDescent="0.2">
      <c r="A81" s="387"/>
      <c r="B81" s="387"/>
      <c r="C81" s="387"/>
      <c r="D81" s="387"/>
      <c r="E81" s="387"/>
      <c r="F81" s="387"/>
      <c r="G81" s="387"/>
      <c r="H81" s="387"/>
      <c r="I81" s="387"/>
      <c r="J81" s="387"/>
      <c r="K81" s="387"/>
      <c r="L81" s="387"/>
      <c r="M81" s="387"/>
    </row>
    <row r="82" spans="1:13" hidden="1" x14ac:dyDescent="0.2">
      <c r="A82" s="387"/>
      <c r="B82" s="387"/>
      <c r="C82" s="387"/>
      <c r="D82" s="387"/>
      <c r="E82" s="387"/>
      <c r="F82" s="387"/>
      <c r="G82" s="387"/>
      <c r="H82" s="387"/>
      <c r="I82" s="387"/>
      <c r="J82" s="387"/>
      <c r="K82" s="387"/>
      <c r="L82" s="387"/>
      <c r="M82" s="387"/>
    </row>
    <row r="83" spans="1:13" hidden="1" x14ac:dyDescent="0.2">
      <c r="A83" s="387"/>
      <c r="B83" s="387"/>
      <c r="C83" s="387"/>
      <c r="D83" s="387"/>
      <c r="E83" s="387"/>
      <c r="F83" s="387"/>
      <c r="G83" s="387"/>
      <c r="H83" s="387"/>
      <c r="I83" s="387"/>
      <c r="J83" s="387"/>
      <c r="K83" s="387"/>
      <c r="L83" s="387"/>
      <c r="M83" s="387"/>
    </row>
    <row r="84" spans="1:13" hidden="1" x14ac:dyDescent="0.2">
      <c r="A84" s="387"/>
      <c r="B84" s="387"/>
      <c r="C84" s="387"/>
      <c r="D84" s="387"/>
      <c r="E84" s="387"/>
      <c r="F84" s="387"/>
      <c r="G84" s="387"/>
      <c r="H84" s="387"/>
      <c r="I84" s="387"/>
      <c r="J84" s="387"/>
      <c r="K84" s="387"/>
      <c r="L84" s="387"/>
      <c r="M84" s="387"/>
    </row>
  </sheetData>
  <sheetProtection algorithmName="SHA-512" hashValue="7g5ogHfxYFUasKSKiC6OeElRJ3k5kKIj/7jb4YillAnkj+KSS5eCz3GPmJh+4l9ZjUl5+b7udYkz69rsCuGXtQ==" saltValue="vuB3G7wbGB3RaEVlznhxjg==" spinCount="100000" sheet="1" objects="1" scenarios="1" formatColumns="0" formatRows="0" autoFilter="0"/>
  <mergeCells count="18">
    <mergeCell ref="A59:F59"/>
    <mergeCell ref="A61:F61"/>
    <mergeCell ref="A64:F64"/>
    <mergeCell ref="A52:F52"/>
    <mergeCell ref="A68:F68"/>
    <mergeCell ref="A41:F41"/>
    <mergeCell ref="A1:F1"/>
    <mergeCell ref="A2:E2"/>
    <mergeCell ref="E36:F36"/>
    <mergeCell ref="E37:F37"/>
    <mergeCell ref="E38:F38"/>
    <mergeCell ref="E35:F35"/>
    <mergeCell ref="E34:F34"/>
    <mergeCell ref="E33:F33"/>
    <mergeCell ref="E32:F32"/>
    <mergeCell ref="E31:F31"/>
    <mergeCell ref="E30:F30"/>
    <mergeCell ref="E29:F29"/>
  </mergeCells>
  <conditionalFormatting sqref="A24:D24 A38:F38 A51:E51 A63:F64">
    <cfRule type="expression" dxfId="67" priority="2">
      <formula>$I24</formula>
    </cfRule>
  </conditionalFormatting>
  <conditionalFormatting sqref="A1:G66">
    <cfRule type="expression" dxfId="66" priority="1">
      <formula>$I$1</formula>
    </cfRule>
  </conditionalFormatting>
  <conditionalFormatting sqref="B43:D51">
    <cfRule type="expression" dxfId="65" priority="3">
      <formula>J43</formula>
    </cfRule>
  </conditionalFormatting>
  <dataValidations count="27">
    <dataValidation type="list" allowBlank="1" showErrorMessage="1" promptTitle="UTM Zone" prompt="Enter the UTM Coordinates zone for the EPN &quot;Engine1&quot;. In Texas, this must be 13, 14, or 15." sqref="B8" xr:uid="{95702571-4586-4772-BEF6-6084584FB00A}">
      <formula1>"13,14,15"</formula1>
    </dataValidation>
    <dataValidation type="decimal" operator="lessThanOrEqual" allowBlank="1" showErrorMessage="1" promptTitle="Emission Factor" prompt="Enter the emission factor for volatile organic compounds (VOC), in grams per horsepower-hour. The pounds per hour (lb/hr) and tons per year (tpy) will automatically calculate in cells to the right." sqref="B35" xr:uid="{B17C8713-EF78-4382-9BED-8DF18BA9082B}">
      <formula1>100</formula1>
    </dataValidation>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9" xr:uid="{EC0D2B75-42D8-424D-959A-8BF7754EA1C2}">
      <formula1>205000</formula1>
      <formula2>795000</formula2>
    </dataValidation>
    <dataValidation type="decimal" allowBlank="1" showErrorMessage="1" errorTitle="North (Meters)" error="Enter a value between 2854000 and 4059000 meters." promptTitle="UTM North" prompt="Enter the distance north of the zone datum for this EPN, in meters. This is a six-digit number between 2854000 and 4059000." sqref="B10" xr:uid="{1366A809-E47C-482D-A805-5E9B3C284B59}">
      <formula1>2854000</formula1>
      <formula2>4059000</formula2>
    </dataValidation>
    <dataValidation operator="greaterThanOrEqual" allowBlank="1" showErrorMessage="1" errorTitle="Maximum Value Exceeded" error="Please enter a value for this parameter below the maximum value." promptTitle="Input Parameters" prompt="Enter the rated brake horsepower (BHP) in horsepower (hp). Note that this value must be less than __." sqref="B18" xr:uid="{58744CC0-F1D9-4C1B-BBFA-3F4544FD765E}"/>
    <dataValidation type="decimal" operator="greaterThanOrEqual" allowBlank="1" showErrorMessage="1" errorTitle="Parameter Below Minimum Value" error="Please enter a value for this parameter that is larger than the minimum value." promptTitle="Input Parameters" prompt="Enter the release height of this EPN. This must be at least 25 feet." sqref="B14" xr:uid="{DB0AE95F-5F99-4B56-A3B8-57DB7563F130}">
      <formula1>C14</formula1>
    </dataValidation>
    <dataValidation type="decimal" operator="greaterThanOrEqual" allowBlank="1" showErrorMessage="1" errorTitle="Parameter Below Minimum Value" error="Please enter a value for this parameter that is larger than the minimum value." promptTitle="Imput Parameters" prompt="Enter the stack diameter. With this permit, the stack must be at least 0.66 feet wide." sqref="B15" xr:uid="{B717F49F-B660-47AA-A2CF-F7459BA60AD4}">
      <formula1>C15</formula1>
    </dataValidation>
    <dataValidation type="decimal" operator="greaterThanOrEqual" allowBlank="1" showErrorMessage="1" errorTitle="Parameter Below Minimum Value" error="Please enter a value for this parameter that is larger than the minimum value." promptTitle="Input Parameters" prompt="Enter the Temperature in degrees Fahrenheit for this EPN. Note that this must be at least 828 degrees." sqref="B16" xr:uid="{A9700BB4-B2B7-47D9-A36F-992BBDC0AB9E}">
      <formula1>C16</formula1>
    </dataValidation>
    <dataValidation type="decimal" operator="greaterThanOrEqual" allowBlank="1" showErrorMessage="1" errorTitle="Parameter Below Minimum Value" error="Please enter a value for this parameter that is larger than the minimum value." promptTitle="Input Parameters" prompt="Enter the velocity of the emisions, in feet per second. Note that this value must be greater than 168.7 feet per second." sqref="B17" xr:uid="{F213BC95-233F-4753-BB8F-B613F11A2FF3}">
      <formula1>C17</formula1>
    </dataValidation>
    <dataValidation type="decimal" operator="lessThanOrEqual" allowBlank="1" showErrorMessage="1" errorTitle="Maximum Value Exceeded" error="Please enter a value for this parameter below the maximum value." promptTitle="Input Parameters" prompt="Enter the annual operating schedule in total hours per year. Note that this value must be below 300 hours per year." sqref="B25" xr:uid="{1DB1FBFB-6D22-4CEC-9F35-1B30F1843183}">
      <formula1>D25</formula1>
    </dataValidation>
    <dataValidation allowBlank="1" showErrorMessage="1" promptTitle="Source Name" prompt="Enter the Source Name for the engine." sqref="B7" xr:uid="{E04ED81F-02C8-4990-955C-5D4CAA67F994}"/>
    <dataValidation allowBlank="1" showErrorMessage="1" prompt="select source of emission factor" sqref="D36:D38" xr:uid="{4139423B-4838-4625-BFD5-F59CB8D6EAF2}"/>
    <dataValidation type="decimal" operator="lessThanOrEqual" allowBlank="1" showErrorMessage="1" promptTitle="Emission Factor" prompt="Enter the emission factor for NOx, in grams per horsepower-hour. The pounds per hour (lb/hr) and tons per year (tpy) will automatically calculate in cells to the right." sqref="B30" xr:uid="{2EF3BD22-F246-4F0C-AA5F-F6FF6F5A21D7}">
      <formula1>C43*453.6/$B$18</formula1>
    </dataValidation>
    <dataValidation type="decimal" operator="lessThanOrEqual" allowBlank="1" showErrorMessage="1" promptTitle="Emission Factor" prompt="Enter the emission factor for carbon monoxide, in grams per horsepower-hour. The pounds per hour (lb/hr) and tons per year (tpy) will automatically calculate in cells to the right." sqref="B31" xr:uid="{56240AA1-BEA2-4A70-B9B1-6C2F32887437}">
      <formula1>C44*453.6/$B$18</formula1>
    </dataValidation>
    <dataValidation type="list" allowBlank="1" showInputMessage="1" showErrorMessage="1" sqref="D30:D35" xr:uid="{334C7D57-E8B9-4F0F-BDA6-57DBD29691D8}">
      <formula1>EngDDSource</formula1>
    </dataValidation>
    <dataValidation type="decimal" operator="lessThanOrEqual" allowBlank="1" showErrorMessage="1" promptTitle="Input Parameters" prompt="Enter the ammonia concentration in ppm." sqref="B24" xr:uid="{9DDFF70E-7E57-469D-980C-A53070CF5484}">
      <formula1>10</formula1>
    </dataValidation>
    <dataValidation type="decimal" operator="lessThanOrEqual" allowBlank="1" showErrorMessage="1" promptTitle="Input Parameters" prompt="Enter the sulfur content of the diesel." sqref="B20" xr:uid="{6025DAA9-9872-4B04-85EB-20CFCEF1F2C2}">
      <formula1>15</formula1>
    </dataValidation>
    <dataValidation type="list" allowBlank="1" showErrorMessage="1" promptTitle="Input Parameters" prompt="Is there a diesel filter? Select or enter yes or no." sqref="B23" xr:uid="{2A4D57A8-E20D-4DAE-AD9C-B0B43CDD497E}">
      <formula1>"Yes,No"</formula1>
    </dataValidation>
    <dataValidation type="list" allowBlank="1" showErrorMessage="1" promptTitle="Input Parameters" prompt="Is there an oxidation catalyst? Select or enter yes or no." sqref="B22" xr:uid="{B106DA65-E45E-4DD7-83E4-12F1AD12F00B}">
      <formula1>"Yes,No"</formula1>
    </dataValidation>
    <dataValidation type="decimal" operator="greaterThanOrEqual" allowBlank="1" showErrorMessage="1" errorTitle="Maximum Value Exceeded" error="Please enter a value for this parameter below the maximum value." prompt="Exhaust gas flow rate is deteremined by input parameters." sqref="B26" xr:uid="{511F8AF2-FF91-43C8-86E2-931FD62EEE67}">
      <formula1>0</formula1>
    </dataValidation>
    <dataValidation type="list" allowBlank="1" showErrorMessage="1" promptTitle="Input Parameters" prompt="Is there a selective catalytic reduction (SCR) system for this engine? Select or enter yes or no." sqref="B21" xr:uid="{B37EC016-902D-4793-A855-3D2BD385802C}">
      <formula1>"Yes,No"</formula1>
    </dataValidation>
    <dataValidation operator="lessThanOrEqual" allowBlank="1" showErrorMessage="1" promptTitle="Emission Factor" prompt="Enter the emission factor for particulate matter with diameters 2.5 microns or less (PM2.5), in grams per horsepower-hour. The pounds per hour (lb/hr) and tons per year (tpy) will automatically calculate in cells to the right." sqref="B34" xr:uid="{C03299B4-63A9-4774-B985-1D84ACB956DC}"/>
    <dataValidation operator="lessThanOrEqual" allowBlank="1" showErrorMessage="1" promptTitle="Emission Factor" prompt="Enter the emission factor for particulate matter with diameters 10 microns or less (PM10), in grams per horsepower-hour. The pounds per hour (lb/hr) and tons per year (tpy) will automatically calculate in cells to the right." sqref="B33" xr:uid="{C57B48A9-288B-4F8E-A2BA-6DB2EAC4E4B9}"/>
    <dataValidation operator="lessThanOrEqual" allowBlank="1" showErrorMessage="1" promptTitle="Emission Factor" prompt="Enter the emission factor for particulate matter (PM), in grams per horsepower-hour. The pounds per hour (lb/hr) and tons per year (tpy) will automatically calculate in cells to the right." sqref="B32" xr:uid="{E198372D-10BD-44F3-9C23-62EB7761B908}"/>
    <dataValidation allowBlank="1" showErrorMessage="1" prompt="This cell intentionally left blank for internal comments. All internal comments must be submitted prior to application submittal." sqref="G3:G66 F41" xr:uid="{2DC7F7EC-3D5F-4E53-836B-DA5C1D43979C}"/>
    <dataValidation type="textLength" allowBlank="1" showErrorMessage="1" promptTitle="FIN" prompt="Input the Facility Identification Number for the engine.  Limited to 10 alphanumeric characters." sqref="B6" xr:uid="{AAA02EB9-5407-495C-B554-BAE403522B7B}">
      <formula1>0</formula1>
      <formula2>10</formula2>
    </dataValidation>
    <dataValidation type="decimal" operator="greaterThanOrEqual" allowBlank="1" showErrorMessage="1" errorTitle="Maximum Value Exceeded" error="Please enter a value for this parameter below the maximum value." promptTitle="Input Parameters" prompt="Enter the fuel consumption rate, in pounds of diesel per horsepower-hour._x000a_" sqref="B19" xr:uid="{D5A68003-90A7-4E49-8EEB-89F824A15874}">
      <formula1>0</formula1>
    </dataValidation>
  </dataValidations>
  <printOptions horizontalCentered="1"/>
  <pageMargins left="0.25" right="0.25" top="0.57395833333333302" bottom="0.61354166666666698" header="0.3" footer="0.3"/>
  <pageSetup scale="73" orientation="portrait" r:id="rId1"/>
  <headerFooter>
    <oddHeader>&amp;C&amp;"Arial,Regular"Engine Power Generation RAP Application</oddHeader>
    <oddFooter>&amp;L&amp;"Arial,Regular"Version: 1.0&amp;C&amp;"Arial,Regular"Sheet: &amp;A&amp;R&amp;"Arial,Regular"Page &amp;P</oddFooter>
  </headerFooter>
  <rowBreaks count="1" manualBreakCount="1">
    <brk id="53" max="16383" man="1"/>
  </rowBreaks>
  <tableParts count="4">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9C19-0810-4F87-ABC9-2086F07480EA}">
  <sheetPr codeName="Sheet11">
    <tabColor rgb="FFFFFFCC"/>
  </sheetPr>
  <dimension ref="A1:N84"/>
  <sheetViews>
    <sheetView showGridLines="0" zoomScaleNormal="100" workbookViewId="0">
      <selection sqref="A1:F1"/>
    </sheetView>
  </sheetViews>
  <sheetFormatPr defaultColWidth="0" defaultRowHeight="14.25" zeroHeight="1" x14ac:dyDescent="0.2"/>
  <cols>
    <col min="1" max="1" width="34.125" style="2" customWidth="1"/>
    <col min="2" max="3" width="14.375" style="2" customWidth="1"/>
    <col min="4" max="4" width="16.375" style="2" customWidth="1"/>
    <col min="5" max="5" width="18.5" style="2" customWidth="1"/>
    <col min="6" max="6" width="27.125" style="2" customWidth="1"/>
    <col min="7" max="7" width="40.625" style="2" customWidth="1"/>
    <col min="8" max="8" width="2.625" style="2" customWidth="1"/>
    <col min="9" max="16384" width="9" style="2" hidden="1"/>
  </cols>
  <sheetData>
    <row r="1" spans="1:13" ht="18.75" thickBot="1" x14ac:dyDescent="0.25">
      <c r="A1" s="861" t="s">
        <v>279</v>
      </c>
      <c r="B1" s="862"/>
      <c r="C1" s="862"/>
      <c r="D1" s="862"/>
      <c r="E1" s="862"/>
      <c r="F1" s="863"/>
      <c r="G1" s="133" t="s">
        <v>60</v>
      </c>
      <c r="H1" s="387"/>
      <c r="I1" s="387" t="b">
        <f>'PI-1-PowerEngine'!$B$78&lt;6</f>
        <v>1</v>
      </c>
      <c r="J1" s="387"/>
      <c r="K1" s="387"/>
      <c r="L1" s="387"/>
      <c r="M1" s="387"/>
    </row>
    <row r="2" spans="1:13" ht="61.5" customHeight="1" thickBot="1" x14ac:dyDescent="0.25">
      <c r="A2" s="880" t="s">
        <v>215</v>
      </c>
      <c r="B2" s="853"/>
      <c r="C2" s="853"/>
      <c r="D2" s="853"/>
      <c r="E2" s="853"/>
      <c r="F2" s="284"/>
      <c r="G2" s="64" t="s">
        <v>63</v>
      </c>
      <c r="H2" s="387"/>
      <c r="I2" s="387"/>
      <c r="J2" s="387"/>
      <c r="K2" s="387"/>
      <c r="L2" s="387"/>
      <c r="M2" s="387"/>
    </row>
    <row r="3" spans="1:13" ht="15" customHeight="1" thickBot="1" x14ac:dyDescent="0.25">
      <c r="A3" s="314" t="s">
        <v>4</v>
      </c>
      <c r="B3" s="97"/>
      <c r="C3" s="97"/>
      <c r="D3" s="97"/>
      <c r="E3" s="97"/>
      <c r="F3" s="97"/>
      <c r="G3" s="138"/>
      <c r="H3" s="387"/>
      <c r="I3" s="387"/>
      <c r="J3" s="387"/>
      <c r="K3" s="387"/>
      <c r="L3" s="387"/>
      <c r="M3" s="387"/>
    </row>
    <row r="4" spans="1:13" ht="17.100000000000001" customHeight="1" thickBot="1" x14ac:dyDescent="0.25">
      <c r="A4" s="171" t="s">
        <v>167</v>
      </c>
      <c r="B4" s="172"/>
      <c r="C4" s="172"/>
      <c r="D4" s="172"/>
      <c r="E4" s="172"/>
      <c r="F4" s="286"/>
      <c r="G4" s="139"/>
      <c r="H4" s="387"/>
      <c r="I4" s="387"/>
      <c r="J4" s="387"/>
      <c r="K4" s="387"/>
      <c r="L4" s="387"/>
      <c r="M4" s="387"/>
    </row>
    <row r="5" spans="1:13" ht="17.100000000000001" customHeight="1" x14ac:dyDescent="0.2">
      <c r="A5" s="295" t="s">
        <v>72</v>
      </c>
      <c r="B5" s="227" t="s">
        <v>73</v>
      </c>
      <c r="C5" s="228"/>
      <c r="D5" s="196"/>
      <c r="E5" s="196"/>
      <c r="F5" s="296"/>
      <c r="G5" s="139"/>
      <c r="H5" s="387"/>
      <c r="I5" s="387"/>
      <c r="J5" s="387"/>
      <c r="K5" s="387"/>
      <c r="L5" s="387"/>
      <c r="M5" s="387"/>
    </row>
    <row r="6" spans="1:13" ht="15" customHeight="1" x14ac:dyDescent="0.2">
      <c r="A6" s="388" t="s">
        <v>216</v>
      </c>
      <c r="B6" s="224"/>
      <c r="C6" s="229"/>
      <c r="D6" s="389"/>
      <c r="E6" s="389"/>
      <c r="F6" s="390"/>
      <c r="G6" s="139"/>
      <c r="H6" s="387"/>
      <c r="I6" s="387"/>
      <c r="J6" s="387"/>
      <c r="K6" s="387"/>
      <c r="L6" s="387"/>
      <c r="M6" s="387"/>
    </row>
    <row r="7" spans="1:13" ht="15" customHeight="1" x14ac:dyDescent="0.2">
      <c r="A7" s="257" t="s">
        <v>217</v>
      </c>
      <c r="B7" s="391"/>
      <c r="C7" s="389"/>
      <c r="D7" s="389"/>
      <c r="E7" s="389"/>
      <c r="F7" s="390"/>
      <c r="G7" s="139"/>
      <c r="H7" s="387"/>
      <c r="I7" s="387"/>
      <c r="J7" s="387"/>
      <c r="K7" s="387"/>
      <c r="L7" s="387"/>
      <c r="M7" s="387"/>
    </row>
    <row r="8" spans="1:13" ht="15" customHeight="1" x14ac:dyDescent="0.2">
      <c r="A8" s="369" t="s">
        <v>218</v>
      </c>
      <c r="B8" s="391"/>
      <c r="C8" s="389"/>
      <c r="D8" s="389"/>
      <c r="E8" s="389"/>
      <c r="F8" s="390"/>
      <c r="G8" s="139"/>
      <c r="H8" s="387"/>
      <c r="I8" s="387"/>
      <c r="J8" s="387"/>
      <c r="K8" s="387"/>
      <c r="L8" s="387"/>
      <c r="M8" s="387"/>
    </row>
    <row r="9" spans="1:13" ht="15" customHeight="1" x14ac:dyDescent="0.2">
      <c r="A9" s="369" t="s">
        <v>219</v>
      </c>
      <c r="B9" s="174"/>
      <c r="C9" s="389"/>
      <c r="D9" s="389"/>
      <c r="E9" s="389"/>
      <c r="F9" s="390"/>
      <c r="G9" s="139"/>
      <c r="H9" s="387"/>
      <c r="I9" s="387"/>
      <c r="J9" s="387"/>
      <c r="K9" s="387"/>
      <c r="L9" s="387"/>
      <c r="M9" s="387"/>
    </row>
    <row r="10" spans="1:13" ht="15" thickBot="1" x14ac:dyDescent="0.25">
      <c r="A10" s="258" t="s">
        <v>220</v>
      </c>
      <c r="B10" s="300"/>
      <c r="C10" s="416"/>
      <c r="D10" s="416"/>
      <c r="E10" s="416"/>
      <c r="F10" s="417"/>
      <c r="G10" s="139"/>
      <c r="H10" s="387"/>
      <c r="I10" s="387"/>
      <c r="J10" s="387"/>
      <c r="K10" s="387"/>
      <c r="L10" s="387"/>
      <c r="M10" s="387"/>
    </row>
    <row r="11" spans="1:13" ht="15" customHeight="1" thickBot="1" x14ac:dyDescent="0.25">
      <c r="A11" s="85"/>
      <c r="B11" s="85"/>
      <c r="C11" s="318" t="s">
        <v>4</v>
      </c>
      <c r="D11" s="85"/>
      <c r="E11" s="85"/>
      <c r="F11" s="85"/>
      <c r="G11" s="139"/>
      <c r="H11" s="387"/>
      <c r="I11" s="387"/>
      <c r="J11" s="387"/>
      <c r="K11" s="387"/>
      <c r="L11" s="387"/>
      <c r="M11" s="387"/>
    </row>
    <row r="12" spans="1:13" ht="17.100000000000001" customHeight="1" thickBot="1" x14ac:dyDescent="0.25">
      <c r="A12" s="171" t="s">
        <v>221</v>
      </c>
      <c r="B12" s="172"/>
      <c r="C12" s="172"/>
      <c r="D12" s="172"/>
      <c r="E12" s="172"/>
      <c r="F12" s="286"/>
      <c r="G12" s="139"/>
      <c r="H12" s="387"/>
      <c r="I12" s="387"/>
      <c r="J12" s="387"/>
      <c r="K12" s="387"/>
      <c r="L12" s="387"/>
      <c r="M12" s="387"/>
    </row>
    <row r="13" spans="1:13" ht="15" customHeight="1" x14ac:dyDescent="0.2">
      <c r="A13" s="301" t="s">
        <v>222</v>
      </c>
      <c r="B13" s="221" t="s">
        <v>223</v>
      </c>
      <c r="C13" s="221" t="s">
        <v>224</v>
      </c>
      <c r="D13" s="222" t="s">
        <v>225</v>
      </c>
      <c r="E13" s="209"/>
      <c r="F13" s="345"/>
      <c r="G13" s="139"/>
      <c r="H13" s="387"/>
      <c r="I13" s="387"/>
      <c r="J13" s="387"/>
      <c r="K13" s="387"/>
      <c r="L13" s="387"/>
      <c r="M13" s="387"/>
    </row>
    <row r="14" spans="1:13" ht="15" customHeight="1" x14ac:dyDescent="0.2">
      <c r="A14" s="369" t="s">
        <v>226</v>
      </c>
      <c r="B14" s="391"/>
      <c r="C14" s="392">
        <v>25</v>
      </c>
      <c r="D14" s="393" t="s">
        <v>855</v>
      </c>
      <c r="E14" s="394"/>
      <c r="F14" s="395"/>
      <c r="G14" s="139"/>
      <c r="H14" s="387"/>
      <c r="I14" s="387"/>
      <c r="J14" s="387"/>
      <c r="K14" s="387"/>
      <c r="L14" s="387"/>
      <c r="M14" s="387"/>
    </row>
    <row r="15" spans="1:13" ht="15" customHeight="1" x14ac:dyDescent="0.2">
      <c r="A15" s="369" t="s">
        <v>227</v>
      </c>
      <c r="B15" s="391"/>
      <c r="C15" s="392">
        <v>0.66</v>
      </c>
      <c r="D15" s="393" t="s">
        <v>855</v>
      </c>
      <c r="E15" s="394"/>
      <c r="F15" s="395"/>
      <c r="G15" s="139"/>
      <c r="H15" s="387"/>
      <c r="I15" s="387"/>
      <c r="J15" s="387"/>
      <c r="K15" s="387"/>
      <c r="L15" s="387"/>
      <c r="M15" s="387"/>
    </row>
    <row r="16" spans="1:13" ht="15" customHeight="1" x14ac:dyDescent="0.2">
      <c r="A16" s="369" t="s">
        <v>228</v>
      </c>
      <c r="B16" s="396"/>
      <c r="C16" s="392">
        <v>828</v>
      </c>
      <c r="D16" s="393" t="s">
        <v>855</v>
      </c>
      <c r="E16" s="394"/>
      <c r="F16" s="395"/>
      <c r="G16" s="139"/>
      <c r="H16" s="387"/>
      <c r="I16" s="387"/>
      <c r="J16" s="387"/>
      <c r="K16" s="387"/>
      <c r="L16" s="387"/>
      <c r="M16" s="387"/>
    </row>
    <row r="17" spans="1:14" ht="15" customHeight="1" x14ac:dyDescent="0.2">
      <c r="A17" s="369" t="s">
        <v>229</v>
      </c>
      <c r="B17" s="391"/>
      <c r="C17" s="392">
        <v>168.7</v>
      </c>
      <c r="D17" s="393" t="s">
        <v>855</v>
      </c>
      <c r="E17" s="394"/>
      <c r="F17" s="395"/>
      <c r="G17" s="139"/>
      <c r="H17" s="387"/>
      <c r="I17" s="387"/>
      <c r="J17" s="387"/>
      <c r="K17" s="387"/>
      <c r="L17" s="387"/>
      <c r="M17" s="387"/>
      <c r="N17" s="397"/>
    </row>
    <row r="18" spans="1:14" ht="15" customHeight="1" x14ac:dyDescent="0.2">
      <c r="A18" s="282" t="s">
        <v>230</v>
      </c>
      <c r="B18" s="396"/>
      <c r="C18" s="392" t="s">
        <v>855</v>
      </c>
      <c r="D18" s="393" t="s">
        <v>855</v>
      </c>
      <c r="E18" s="394"/>
      <c r="F18" s="395"/>
      <c r="G18" s="139"/>
      <c r="H18" s="387"/>
      <c r="I18" s="387"/>
      <c r="J18" s="387"/>
      <c r="K18" s="387"/>
      <c r="L18" s="387"/>
      <c r="M18" s="387"/>
      <c r="N18" s="387"/>
    </row>
    <row r="19" spans="1:14" ht="15" customHeight="1" x14ac:dyDescent="0.2">
      <c r="A19" s="369" t="s">
        <v>231</v>
      </c>
      <c r="B19" s="391"/>
      <c r="C19" s="392" t="s">
        <v>855</v>
      </c>
      <c r="D19" s="393" t="s">
        <v>855</v>
      </c>
      <c r="E19" s="394"/>
      <c r="F19" s="395"/>
      <c r="G19" s="139"/>
      <c r="H19" s="387"/>
      <c r="I19" s="387"/>
      <c r="J19" s="387"/>
      <c r="K19" s="387"/>
      <c r="L19" s="387"/>
      <c r="M19" s="387"/>
      <c r="N19" s="387"/>
    </row>
    <row r="20" spans="1:14" ht="15" customHeight="1" x14ac:dyDescent="0.2">
      <c r="A20" s="369" t="s">
        <v>232</v>
      </c>
      <c r="B20" s="159"/>
      <c r="C20" s="392" t="s">
        <v>855</v>
      </c>
      <c r="D20" s="393">
        <v>15</v>
      </c>
      <c r="E20" s="394"/>
      <c r="F20" s="395"/>
      <c r="G20" s="139"/>
      <c r="H20" s="387"/>
      <c r="I20" s="387"/>
      <c r="J20" s="387"/>
      <c r="K20" s="387"/>
      <c r="L20" s="387"/>
      <c r="M20" s="387"/>
      <c r="N20" s="387"/>
    </row>
    <row r="21" spans="1:14" ht="30.75" customHeight="1" x14ac:dyDescent="0.2">
      <c r="A21" s="398" t="s">
        <v>233</v>
      </c>
      <c r="B21" s="159"/>
      <c r="C21" s="392" t="s">
        <v>855</v>
      </c>
      <c r="D21" s="393" t="s">
        <v>855</v>
      </c>
      <c r="E21" s="394"/>
      <c r="F21" s="395"/>
      <c r="G21" s="139"/>
      <c r="H21" s="387"/>
      <c r="I21" s="387"/>
      <c r="J21" s="387"/>
      <c r="K21" s="387"/>
      <c r="L21" s="387"/>
      <c r="M21" s="387"/>
      <c r="N21" s="387"/>
    </row>
    <row r="22" spans="1:14" ht="15" customHeight="1" x14ac:dyDescent="0.2">
      <c r="A22" s="398" t="s">
        <v>234</v>
      </c>
      <c r="B22" s="159"/>
      <c r="C22" s="392" t="s">
        <v>855</v>
      </c>
      <c r="D22" s="393" t="s">
        <v>855</v>
      </c>
      <c r="E22" s="394"/>
      <c r="F22" s="395"/>
      <c r="G22" s="139"/>
      <c r="H22" s="387"/>
      <c r="I22" s="387"/>
      <c r="J22" s="387"/>
      <c r="K22" s="387"/>
      <c r="L22" s="387"/>
      <c r="M22" s="387"/>
      <c r="N22" s="387"/>
    </row>
    <row r="23" spans="1:14" ht="15" customHeight="1" x14ac:dyDescent="0.2">
      <c r="A23" s="398" t="s">
        <v>235</v>
      </c>
      <c r="B23" s="159"/>
      <c r="C23" s="392" t="s">
        <v>855</v>
      </c>
      <c r="D23" s="393" t="s">
        <v>855</v>
      </c>
      <c r="E23" s="394"/>
      <c r="F23" s="395"/>
      <c r="G23" s="139"/>
      <c r="H23" s="387"/>
      <c r="I23" s="387"/>
      <c r="J23" s="387"/>
      <c r="K23" s="387"/>
      <c r="L23" s="387"/>
      <c r="M23" s="387"/>
      <c r="N23" s="387"/>
    </row>
    <row r="24" spans="1:14" ht="15" customHeight="1" x14ac:dyDescent="0.2">
      <c r="A24" s="369" t="s">
        <v>236</v>
      </c>
      <c r="B24" s="159"/>
      <c r="C24" s="392" t="s">
        <v>855</v>
      </c>
      <c r="D24" s="393">
        <v>10</v>
      </c>
      <c r="E24" s="394"/>
      <c r="F24" s="395"/>
      <c r="G24" s="139"/>
      <c r="H24" s="387"/>
      <c r="I24" s="387" t="b">
        <f>$B$21="NO"</f>
        <v>0</v>
      </c>
      <c r="J24" s="387"/>
      <c r="K24" s="387"/>
      <c r="L24" s="387"/>
      <c r="M24" s="387"/>
      <c r="N24" s="387"/>
    </row>
    <row r="25" spans="1:14" ht="15" customHeight="1" x14ac:dyDescent="0.2">
      <c r="A25" s="369" t="s">
        <v>237</v>
      </c>
      <c r="B25" s="159"/>
      <c r="C25" s="392" t="s">
        <v>855</v>
      </c>
      <c r="D25" s="393">
        <v>300</v>
      </c>
      <c r="E25" s="394"/>
      <c r="F25" s="395"/>
      <c r="G25" s="139"/>
      <c r="H25" s="387"/>
      <c r="I25" s="387"/>
      <c r="J25" s="387"/>
      <c r="K25" s="387"/>
      <c r="L25" s="387"/>
      <c r="M25" s="387"/>
      <c r="N25" s="387"/>
    </row>
    <row r="26" spans="1:14" ht="15" customHeight="1" thickBot="1" x14ac:dyDescent="0.25">
      <c r="A26" s="283" t="s">
        <v>275</v>
      </c>
      <c r="B26" s="285">
        <f>B17*60*PI()/4*B15^2*(459.67+60)/(459.67+B16)</f>
        <v>0</v>
      </c>
      <c r="C26" s="399" t="s">
        <v>855</v>
      </c>
      <c r="D26" s="400" t="s">
        <v>855</v>
      </c>
      <c r="E26" s="401"/>
      <c r="F26" s="402"/>
      <c r="G26" s="139"/>
      <c r="H26" s="387"/>
      <c r="I26" s="387"/>
      <c r="J26" s="387"/>
      <c r="K26" s="387"/>
      <c r="L26" s="387"/>
      <c r="M26" s="387"/>
      <c r="N26" s="387"/>
    </row>
    <row r="27" spans="1:14" ht="15" customHeight="1" thickBot="1" x14ac:dyDescent="0.25">
      <c r="A27" s="403"/>
      <c r="B27" s="389"/>
      <c r="C27" s="389"/>
      <c r="D27" s="389"/>
      <c r="E27" s="387"/>
      <c r="F27" s="387"/>
      <c r="G27" s="139"/>
      <c r="H27" s="387"/>
      <c r="I27" s="387"/>
      <c r="J27" s="387"/>
      <c r="K27" s="387"/>
      <c r="L27" s="387"/>
      <c r="M27" s="387"/>
      <c r="N27" s="387"/>
    </row>
    <row r="28" spans="1:14" ht="15" customHeight="1" thickBot="1" x14ac:dyDescent="0.25">
      <c r="A28" s="160" t="s">
        <v>239</v>
      </c>
      <c r="B28" s="161"/>
      <c r="C28" s="161"/>
      <c r="D28" s="161"/>
      <c r="E28" s="161"/>
      <c r="F28" s="286"/>
      <c r="G28" s="139"/>
      <c r="H28" s="387"/>
      <c r="I28" s="387"/>
      <c r="J28" s="387"/>
      <c r="K28" s="387"/>
      <c r="L28" s="387"/>
      <c r="M28" s="387"/>
      <c r="N28" s="387"/>
    </row>
    <row r="29" spans="1:14" ht="15" x14ac:dyDescent="0.2">
      <c r="A29" s="225" t="s">
        <v>240</v>
      </c>
      <c r="B29" s="63" t="s">
        <v>241</v>
      </c>
      <c r="C29" s="221" t="s">
        <v>242</v>
      </c>
      <c r="D29" s="357" t="s">
        <v>243</v>
      </c>
      <c r="E29" s="882" t="s">
        <v>244</v>
      </c>
      <c r="F29" s="867"/>
      <c r="G29" s="139"/>
      <c r="H29" s="387"/>
      <c r="I29" s="387"/>
      <c r="J29" s="387"/>
      <c r="K29" s="387"/>
      <c r="L29" s="387"/>
      <c r="M29" s="387"/>
      <c r="N29" s="387"/>
    </row>
    <row r="30" spans="1:14" x14ac:dyDescent="0.2">
      <c r="A30" s="334" t="s">
        <v>245</v>
      </c>
      <c r="B30" s="404"/>
      <c r="C30" s="392" t="s">
        <v>246</v>
      </c>
      <c r="D30" s="355"/>
      <c r="E30" s="881" t="str">
        <f>IFERROR(INDEX(Reference!$AQ$14:$AQ$17,MATCH(D30,EngDDSource,0)),"")</f>
        <v/>
      </c>
      <c r="F30" s="865"/>
      <c r="G30" s="139"/>
      <c r="H30" s="387"/>
      <c r="I30" s="387"/>
      <c r="J30" s="387"/>
      <c r="K30" s="387"/>
      <c r="L30" s="387"/>
      <c r="M30" s="387"/>
      <c r="N30" s="387"/>
    </row>
    <row r="31" spans="1:14" x14ac:dyDescent="0.2">
      <c r="A31" s="334" t="s">
        <v>247</v>
      </c>
      <c r="B31" s="404"/>
      <c r="C31" s="392" t="s">
        <v>246</v>
      </c>
      <c r="D31" s="355"/>
      <c r="E31" s="881" t="str">
        <f>IFERROR(INDEX(Reference!$AQ$14:$AQ$17,MATCH(D31,EngDDSource,0)),"")</f>
        <v/>
      </c>
      <c r="F31" s="865"/>
      <c r="G31" s="139"/>
      <c r="H31" s="387"/>
      <c r="I31" s="387"/>
      <c r="J31" s="387"/>
      <c r="K31" s="387"/>
      <c r="L31" s="387"/>
      <c r="M31" s="387"/>
      <c r="N31" s="387"/>
    </row>
    <row r="32" spans="1:14" x14ac:dyDescent="0.2">
      <c r="A32" s="334" t="s">
        <v>248</v>
      </c>
      <c r="B32" s="153"/>
      <c r="C32" s="392" t="s">
        <v>246</v>
      </c>
      <c r="D32" s="355"/>
      <c r="E32" s="881" t="str">
        <f>IFERROR(INDEX(Reference!$AQ$14:$AQ$17,MATCH(D32,EngDDSource,0)),"")</f>
        <v/>
      </c>
      <c r="F32" s="865"/>
      <c r="G32" s="139"/>
      <c r="H32" s="387"/>
      <c r="I32" s="387"/>
      <c r="J32" s="387"/>
      <c r="K32" s="387"/>
      <c r="L32" s="387"/>
      <c r="M32" s="387"/>
      <c r="N32" s="387"/>
    </row>
    <row r="33" spans="1:13" x14ac:dyDescent="0.2">
      <c r="A33" s="334" t="s">
        <v>249</v>
      </c>
      <c r="B33" s="153"/>
      <c r="C33" s="392" t="s">
        <v>246</v>
      </c>
      <c r="D33" s="355"/>
      <c r="E33" s="881" t="str">
        <f>IFERROR(INDEX(Reference!$AQ$14:$AQ$17,MATCH(D33,EngDDSource,0)),"")</f>
        <v/>
      </c>
      <c r="F33" s="865"/>
      <c r="G33" s="139"/>
      <c r="H33" s="387"/>
      <c r="I33" s="387"/>
      <c r="J33" s="387"/>
      <c r="K33" s="387"/>
      <c r="L33" s="387"/>
      <c r="M33" s="387"/>
    </row>
    <row r="34" spans="1:13" x14ac:dyDescent="0.2">
      <c r="A34" s="334" t="s">
        <v>250</v>
      </c>
      <c r="B34" s="153"/>
      <c r="C34" s="392" t="s">
        <v>246</v>
      </c>
      <c r="D34" s="355"/>
      <c r="E34" s="881" t="str">
        <f>IFERROR(INDEX(Reference!$AQ$14:$AQ$17,MATCH(D34,EngDDSource,0)),"")</f>
        <v/>
      </c>
      <c r="F34" s="865"/>
      <c r="G34" s="139"/>
      <c r="H34" s="387"/>
      <c r="I34" s="387"/>
      <c r="J34" s="387"/>
      <c r="K34" s="387"/>
      <c r="L34" s="387"/>
      <c r="M34" s="387"/>
    </row>
    <row r="35" spans="1:13" x14ac:dyDescent="0.2">
      <c r="A35" s="334" t="s">
        <v>251</v>
      </c>
      <c r="B35" s="404"/>
      <c r="C35" s="392" t="s">
        <v>246</v>
      </c>
      <c r="D35" s="355"/>
      <c r="E35" s="881" t="str">
        <f>IFERROR(INDEX(Reference!$AQ$14:$AQ$17,MATCH(D35,EngDDSource,0)),"")</f>
        <v/>
      </c>
      <c r="F35" s="865"/>
      <c r="G35" s="139"/>
      <c r="H35" s="387"/>
      <c r="I35" s="387"/>
      <c r="J35" s="387"/>
      <c r="K35" s="387"/>
      <c r="L35" s="387"/>
      <c r="M35" s="387"/>
    </row>
    <row r="36" spans="1:13" ht="33.75" customHeight="1" x14ac:dyDescent="0.2">
      <c r="A36" s="334" t="s">
        <v>252</v>
      </c>
      <c r="B36" s="155" t="s">
        <v>855</v>
      </c>
      <c r="C36" s="392" t="s">
        <v>855</v>
      </c>
      <c r="D36" s="356" t="s">
        <v>253</v>
      </c>
      <c r="E36" s="881" t="s">
        <v>254</v>
      </c>
      <c r="F36" s="865"/>
      <c r="G36" s="139"/>
      <c r="H36" s="387"/>
      <c r="I36" s="387"/>
      <c r="J36" s="387"/>
      <c r="K36" s="387"/>
      <c r="L36" s="387"/>
      <c r="M36" s="387"/>
    </row>
    <row r="37" spans="1:13" ht="33.75" customHeight="1" x14ac:dyDescent="0.2">
      <c r="A37" s="334" t="s">
        <v>255</v>
      </c>
      <c r="B37" s="155" t="s">
        <v>855</v>
      </c>
      <c r="C37" s="392" t="s">
        <v>855</v>
      </c>
      <c r="D37" s="356" t="s">
        <v>253</v>
      </c>
      <c r="E37" s="881" t="s">
        <v>256</v>
      </c>
      <c r="F37" s="865"/>
      <c r="G37" s="139"/>
      <c r="H37" s="387"/>
      <c r="I37" s="387"/>
      <c r="J37" s="387"/>
      <c r="K37" s="387"/>
      <c r="L37" s="387"/>
      <c r="M37" s="387"/>
    </row>
    <row r="38" spans="1:13" ht="33.75" customHeight="1" thickBot="1" x14ac:dyDescent="0.25">
      <c r="A38" s="337" t="s">
        <v>257</v>
      </c>
      <c r="B38" s="341" t="s">
        <v>855</v>
      </c>
      <c r="C38" s="341" t="s">
        <v>855</v>
      </c>
      <c r="D38" s="358" t="s">
        <v>253</v>
      </c>
      <c r="E38" s="876" t="s">
        <v>258</v>
      </c>
      <c r="F38" s="877"/>
      <c r="G38" s="139"/>
      <c r="H38" s="387"/>
      <c r="I38" s="387" t="b">
        <f>$I$24</f>
        <v>0</v>
      </c>
      <c r="J38" s="387"/>
      <c r="K38" s="387"/>
      <c r="L38" s="387"/>
      <c r="M38" s="387"/>
    </row>
    <row r="39" spans="1:13" ht="15" customHeight="1" thickBot="1" x14ac:dyDescent="0.25">
      <c r="A39" s="403"/>
      <c r="B39" s="389"/>
      <c r="C39" s="389"/>
      <c r="D39" s="389"/>
      <c r="E39" s="387"/>
      <c r="F39" s="387"/>
      <c r="G39" s="139"/>
      <c r="H39" s="387"/>
      <c r="I39" s="387"/>
      <c r="J39" s="387"/>
      <c r="K39" s="387"/>
      <c r="L39" s="387"/>
      <c r="M39" s="387"/>
    </row>
    <row r="40" spans="1:13" ht="17.100000000000001" customHeight="1" thickBot="1" x14ac:dyDescent="0.25">
      <c r="A40" s="160" t="s">
        <v>259</v>
      </c>
      <c r="B40" s="161"/>
      <c r="C40" s="161"/>
      <c r="D40" s="161"/>
      <c r="E40" s="161"/>
      <c r="F40" s="286"/>
      <c r="G40" s="139"/>
      <c r="H40" s="387"/>
      <c r="I40" s="387"/>
      <c r="J40" s="387"/>
      <c r="K40" s="387"/>
      <c r="L40" s="387"/>
      <c r="M40" s="387"/>
    </row>
    <row r="41" spans="1:13" ht="46.5" customHeight="1" x14ac:dyDescent="0.2">
      <c r="A41" s="733" t="s">
        <v>260</v>
      </c>
      <c r="B41" s="842"/>
      <c r="C41" s="842"/>
      <c r="D41" s="842"/>
      <c r="E41" s="842"/>
      <c r="F41" s="868"/>
      <c r="G41" s="139"/>
      <c r="H41" s="387"/>
      <c r="I41" s="387"/>
      <c r="J41" s="387"/>
      <c r="K41" s="387"/>
      <c r="L41" s="387"/>
      <c r="M41" s="387"/>
    </row>
    <row r="42" spans="1:13" ht="49.5" customHeight="1" x14ac:dyDescent="0.2">
      <c r="A42" s="225" t="s">
        <v>240</v>
      </c>
      <c r="B42" s="221" t="s">
        <v>261</v>
      </c>
      <c r="C42" s="221" t="s">
        <v>262</v>
      </c>
      <c r="D42" s="221" t="s">
        <v>263</v>
      </c>
      <c r="E42" s="222" t="s">
        <v>264</v>
      </c>
      <c r="F42" s="343"/>
      <c r="G42" s="139"/>
      <c r="H42" s="387"/>
      <c r="I42" s="387"/>
      <c r="J42" s="387"/>
      <c r="K42" s="387"/>
      <c r="L42" s="387"/>
      <c r="M42" s="387"/>
    </row>
    <row r="43" spans="1:13" ht="15" customHeight="1" x14ac:dyDescent="0.2">
      <c r="A43" s="405" t="s">
        <v>245</v>
      </c>
      <c r="B43" s="406">
        <f t="shared" ref="B43:B48" si="0">$B$18*B30/453.6</f>
        <v>0</v>
      </c>
      <c r="C43" s="407">
        <v>1.85</v>
      </c>
      <c r="D43" s="406">
        <f t="shared" ref="D43:D51" si="1">B43*$B$25/2000</f>
        <v>0</v>
      </c>
      <c r="E43" s="393">
        <v>0.27750000000000002</v>
      </c>
      <c r="F43" s="390"/>
      <c r="G43" s="139"/>
      <c r="H43" s="387"/>
      <c r="I43" s="387"/>
      <c r="J43" s="387" t="b">
        <f>$B43&gt;$C43</f>
        <v>0</v>
      </c>
      <c r="K43" s="387"/>
      <c r="L43" s="387" t="b">
        <f>$D43&gt;$E43</f>
        <v>0</v>
      </c>
      <c r="M43" s="387"/>
    </row>
    <row r="44" spans="1:13" ht="15" customHeight="1" x14ac:dyDescent="0.2">
      <c r="A44" s="405" t="s">
        <v>247</v>
      </c>
      <c r="B44" s="406">
        <f t="shared" si="0"/>
        <v>0</v>
      </c>
      <c r="C44" s="407">
        <v>5.43</v>
      </c>
      <c r="D44" s="406">
        <f t="shared" si="1"/>
        <v>0</v>
      </c>
      <c r="E44" s="393" t="s">
        <v>855</v>
      </c>
      <c r="F44" s="390"/>
      <c r="G44" s="139"/>
      <c r="H44" s="387"/>
      <c r="I44" s="387"/>
      <c r="J44" s="387" t="b">
        <f t="shared" ref="J44:J51" si="2">$B44&gt;$C44</f>
        <v>0</v>
      </c>
      <c r="K44" s="387"/>
      <c r="L44" s="387"/>
      <c r="M44" s="387"/>
    </row>
    <row r="45" spans="1:13" ht="15" customHeight="1" x14ac:dyDescent="0.2">
      <c r="A45" s="405" t="s">
        <v>248</v>
      </c>
      <c r="B45" s="406">
        <f t="shared" si="0"/>
        <v>0</v>
      </c>
      <c r="C45" s="392" t="s">
        <v>855</v>
      </c>
      <c r="D45" s="406">
        <f t="shared" si="1"/>
        <v>0</v>
      </c>
      <c r="E45" s="393" t="s">
        <v>855</v>
      </c>
      <c r="F45" s="390"/>
      <c r="G45" s="139"/>
      <c r="H45" s="387"/>
      <c r="I45" s="387"/>
      <c r="J45" s="387"/>
      <c r="K45" s="387"/>
      <c r="L45" s="387"/>
      <c r="M45" s="387"/>
    </row>
    <row r="46" spans="1:13" ht="15" customHeight="1" x14ac:dyDescent="0.2">
      <c r="A46" s="405" t="s">
        <v>249</v>
      </c>
      <c r="B46" s="406">
        <f t="shared" si="0"/>
        <v>0</v>
      </c>
      <c r="C46" s="408">
        <v>2.1999999999999999E-2</v>
      </c>
      <c r="D46" s="406">
        <f t="shared" si="1"/>
        <v>0</v>
      </c>
      <c r="E46" s="393" t="s">
        <v>855</v>
      </c>
      <c r="F46" s="390"/>
      <c r="G46" s="139"/>
      <c r="H46" s="387"/>
      <c r="I46" s="387"/>
      <c r="J46" s="387" t="b">
        <f t="shared" si="2"/>
        <v>0</v>
      </c>
      <c r="K46" s="387"/>
      <c r="L46" s="387"/>
      <c r="M46" s="387"/>
    </row>
    <row r="47" spans="1:13" ht="15" customHeight="1" x14ac:dyDescent="0.2">
      <c r="A47" s="405" t="s">
        <v>250</v>
      </c>
      <c r="B47" s="406">
        <f t="shared" si="0"/>
        <v>0</v>
      </c>
      <c r="C47" s="408">
        <v>2.1999999999999999E-2</v>
      </c>
      <c r="D47" s="406">
        <f t="shared" si="1"/>
        <v>0</v>
      </c>
      <c r="E47" s="393">
        <v>3.3999999999999998E-3</v>
      </c>
      <c r="F47" s="390"/>
      <c r="G47" s="139"/>
      <c r="H47" s="387"/>
      <c r="I47" s="387"/>
      <c r="J47" s="387" t="b">
        <f t="shared" si="2"/>
        <v>0</v>
      </c>
      <c r="K47" s="387"/>
      <c r="L47" s="387" t="b">
        <f t="shared" ref="L47:L51" si="3">$D47&gt;$E47</f>
        <v>0</v>
      </c>
      <c r="M47" s="387"/>
    </row>
    <row r="48" spans="1:13" ht="15" customHeight="1" x14ac:dyDescent="0.2">
      <c r="A48" s="405" t="s">
        <v>251</v>
      </c>
      <c r="B48" s="406">
        <f t="shared" si="0"/>
        <v>0</v>
      </c>
      <c r="C48" s="392" t="s">
        <v>855</v>
      </c>
      <c r="D48" s="406">
        <f t="shared" si="1"/>
        <v>0</v>
      </c>
      <c r="E48" s="393" t="s">
        <v>855</v>
      </c>
      <c r="F48" s="390"/>
      <c r="G48" s="139"/>
      <c r="H48" s="387"/>
      <c r="I48" s="387"/>
      <c r="J48" s="387"/>
      <c r="K48" s="387"/>
      <c r="L48" s="387"/>
      <c r="M48" s="387"/>
    </row>
    <row r="49" spans="1:13" ht="15" customHeight="1" x14ac:dyDescent="0.2">
      <c r="A49" s="405" t="s">
        <v>252</v>
      </c>
      <c r="B49" s="406">
        <f>$B$19*7.05*$B$18*($B$20/1000000)*(64/32)</f>
        <v>0</v>
      </c>
      <c r="C49" s="408">
        <v>5.8999999999999997E-2</v>
      </c>
      <c r="D49" s="406">
        <f t="shared" si="1"/>
        <v>0</v>
      </c>
      <c r="E49" s="393">
        <v>8.8000000000000005E-3</v>
      </c>
      <c r="F49" s="390"/>
      <c r="G49" s="139"/>
      <c r="H49" s="387"/>
      <c r="I49" s="387"/>
      <c r="J49" s="387" t="b">
        <f t="shared" si="2"/>
        <v>0</v>
      </c>
      <c r="K49" s="387"/>
      <c r="L49" s="387" t="b">
        <f t="shared" si="3"/>
        <v>0</v>
      </c>
      <c r="M49" s="387"/>
    </row>
    <row r="50" spans="1:13" ht="15" customHeight="1" x14ac:dyDescent="0.2">
      <c r="A50" s="405" t="s">
        <v>255</v>
      </c>
      <c r="B50" s="406">
        <f>$B$49*(1/64.06)*(0.1/1)*98.07</f>
        <v>0</v>
      </c>
      <c r="C50" s="409">
        <v>5.7000000000000002E-3</v>
      </c>
      <c r="D50" s="406">
        <f t="shared" si="1"/>
        <v>0</v>
      </c>
      <c r="E50" s="393" t="s">
        <v>855</v>
      </c>
      <c r="F50" s="390"/>
      <c r="G50" s="139"/>
      <c r="H50" s="387"/>
      <c r="I50" s="387"/>
      <c r="J50" s="387" t="b">
        <f t="shared" si="2"/>
        <v>0</v>
      </c>
      <c r="K50" s="387"/>
      <c r="L50" s="387"/>
      <c r="M50" s="387"/>
    </row>
    <row r="51" spans="1:13" ht="15" customHeight="1" x14ac:dyDescent="0.2">
      <c r="A51" s="410" t="s">
        <v>257</v>
      </c>
      <c r="B51" s="619">
        <f>IF(B21="no",0,$B$24*(17/379)*$B$26*(60/1000000))</f>
        <v>0</v>
      </c>
      <c r="C51" s="226">
        <v>0.129</v>
      </c>
      <c r="D51" s="621">
        <f t="shared" si="1"/>
        <v>0</v>
      </c>
      <c r="E51" s="412">
        <v>1.9300000000000001E-2</v>
      </c>
      <c r="F51" s="390"/>
      <c r="G51" s="139"/>
      <c r="H51" s="387"/>
      <c r="I51" s="387" t="b">
        <f>$I$24</f>
        <v>0</v>
      </c>
      <c r="J51" s="387" t="b">
        <f t="shared" si="2"/>
        <v>0</v>
      </c>
      <c r="K51" s="387"/>
      <c r="L51" s="387" t="b">
        <f t="shared" si="3"/>
        <v>0</v>
      </c>
      <c r="M51" s="387"/>
    </row>
    <row r="52" spans="1:13" ht="90.75" customHeight="1" thickBot="1" x14ac:dyDescent="0.25">
      <c r="A52" s="878" t="s">
        <v>265</v>
      </c>
      <c r="B52" s="844"/>
      <c r="C52" s="844"/>
      <c r="D52" s="844"/>
      <c r="E52" s="844"/>
      <c r="F52" s="879"/>
      <c r="G52" s="139"/>
      <c r="H52" s="387"/>
      <c r="I52" s="387"/>
      <c r="J52" s="387"/>
      <c r="K52" s="387"/>
      <c r="L52" s="387"/>
      <c r="M52" s="387"/>
    </row>
    <row r="53" spans="1:13" ht="15" customHeight="1" thickBot="1" x14ac:dyDescent="0.25">
      <c r="A53" s="316"/>
      <c r="B53" s="154"/>
      <c r="C53" s="154"/>
      <c r="D53" s="154"/>
      <c r="E53" s="154"/>
      <c r="F53" s="154"/>
      <c r="G53" s="139"/>
      <c r="H53" s="387"/>
      <c r="I53" s="387"/>
      <c r="J53" s="387"/>
      <c r="K53" s="387"/>
      <c r="L53" s="387"/>
      <c r="M53" s="387"/>
    </row>
    <row r="54" spans="1:13" ht="17.100000000000001" customHeight="1" thickBot="1" x14ac:dyDescent="0.25">
      <c r="A54" s="194" t="s">
        <v>266</v>
      </c>
      <c r="B54" s="195"/>
      <c r="C54" s="195"/>
      <c r="D54" s="195"/>
      <c r="E54" s="195"/>
      <c r="F54" s="286"/>
      <c r="G54" s="139"/>
      <c r="H54" s="387"/>
      <c r="I54" s="387"/>
      <c r="J54" s="387"/>
      <c r="K54" s="387"/>
      <c r="L54" s="387"/>
      <c r="M54" s="387"/>
    </row>
    <row r="55" spans="1:13" ht="20.100000000000001" customHeight="1" thickBot="1" x14ac:dyDescent="0.25">
      <c r="A55" s="413" t="s">
        <v>267</v>
      </c>
      <c r="B55" s="414"/>
      <c r="C55" s="414"/>
      <c r="D55" s="414"/>
      <c r="E55" s="414"/>
      <c r="F55" s="415"/>
      <c r="G55" s="139"/>
      <c r="H55" s="387"/>
      <c r="I55" s="387"/>
      <c r="J55" s="387"/>
      <c r="K55" s="387"/>
      <c r="L55" s="387"/>
      <c r="M55" s="387"/>
    </row>
    <row r="56" spans="1:13" ht="20.100000000000001" customHeight="1" x14ac:dyDescent="0.2">
      <c r="A56" s="204" t="s">
        <v>268</v>
      </c>
      <c r="B56" s="201"/>
      <c r="C56" s="201"/>
      <c r="D56" s="201"/>
      <c r="E56" s="201"/>
      <c r="F56" s="352"/>
      <c r="G56" s="139"/>
      <c r="H56" s="387"/>
      <c r="I56" s="387"/>
      <c r="J56" s="387"/>
      <c r="K56" s="387"/>
      <c r="L56" s="387"/>
      <c r="M56" s="387"/>
    </row>
    <row r="57" spans="1:13" customFormat="1" ht="20.100000000000001" customHeight="1" x14ac:dyDescent="0.2">
      <c r="A57" s="90" t="str">
        <f>"("&amp;TEXT($B$18,"#,##0")&amp;" hp × "&amp;$B$30&amp;" g/hp-hr)"&amp;" ÷ 453.6 lb/g = "&amp;TEXT(($B$18*B30)/453.6,"#,##0.00##")&amp;" lb/hr"</f>
        <v>(0 hp ×  g/hp-hr) ÷ 453.6 lb/g = 0.00 lb/hr</v>
      </c>
      <c r="B57" s="91"/>
      <c r="C57" s="91"/>
      <c r="D57" s="91"/>
      <c r="E57" s="91"/>
      <c r="F57" s="91"/>
      <c r="G57" s="193"/>
    </row>
    <row r="58" spans="1:13" ht="20.100000000000001" customHeight="1" x14ac:dyDescent="0.2">
      <c r="A58" s="205" t="s">
        <v>269</v>
      </c>
      <c r="B58" s="206"/>
      <c r="C58" s="206"/>
      <c r="D58" s="206"/>
      <c r="E58" s="206"/>
      <c r="F58" s="354"/>
      <c r="G58" s="139"/>
      <c r="H58" s="387"/>
      <c r="I58" s="387"/>
      <c r="J58" s="387"/>
      <c r="K58" s="387"/>
      <c r="L58" s="387"/>
      <c r="M58" s="387"/>
    </row>
    <row r="59" spans="1:13" customFormat="1" ht="20.100000000000001" customHeight="1" x14ac:dyDescent="0.2">
      <c r="A59" s="869" t="str">
        <f>"("&amp;TEXT(B19,"#,##0")&amp;" gal diesel/hp-hr × 7.05 lb diesel/gal diesel × "&amp;TEXT($B$18,"#,##0")&amp;" hp)"&amp;" × ("&amp;$B$20&amp;" lb S ÷ 1,000,000 lb diesel)"&amp;" × (64 lb SO2 ÷ 32 lb S) = "&amp;TEXT($B$19*7.05*$B$18*($B$20/1000000)*(64/32),"#,##0.00##")&amp;" lb/hr"</f>
        <v>(0 gal diesel/hp-hr × 7.05 lb diesel/gal diesel × 0 hp) × ( lb S ÷ 1,000,000 lb diesel) × (64 lb SO2 ÷ 32 lb S) = 0.00 lb/hr</v>
      </c>
      <c r="B59" s="870"/>
      <c r="C59" s="870"/>
      <c r="D59" s="870"/>
      <c r="E59" s="870"/>
      <c r="F59" s="871"/>
      <c r="G59" s="193"/>
    </row>
    <row r="60" spans="1:13" ht="20.100000000000001" customHeight="1" x14ac:dyDescent="0.2">
      <c r="A60" s="353" t="s">
        <v>270</v>
      </c>
      <c r="B60" s="271"/>
      <c r="C60" s="271"/>
      <c r="D60" s="271"/>
      <c r="E60" s="271"/>
      <c r="F60" s="271"/>
      <c r="G60" s="139"/>
      <c r="H60" s="387"/>
      <c r="I60" s="387"/>
      <c r="J60" s="387"/>
      <c r="K60" s="387"/>
      <c r="L60" s="387"/>
      <c r="M60" s="387"/>
    </row>
    <row r="61" spans="1:13" customFormat="1" ht="30" customHeight="1" x14ac:dyDescent="0.2">
      <c r="A61" s="707" t="str">
        <f>"("&amp;TEXT($B$49,"#,##0.00")&amp;" lb/hr) × (1 lb mol SO2 ÷ 64.06 lb SO2) × (0.1 lb mol SO3 ÷ 1 lb mol SO2) × (1 lb mol H2SO4 ÷ 1 lb mol SO3) × (98.07 lb H2SO4 ÷ 1 lb mol H2SO4) = "&amp;TEXT($B$49*(1/64.06)*(0.1/1)*98.07,"#,##0.00##")&amp;" lb/hr"</f>
        <v>(0.00 lb/hr) × (1 lb mol SO2 ÷ 64.06 lb SO2) × (0.1 lb mol SO3 ÷ 1 lb mol SO2) × (1 lb mol H2SO4 ÷ 1 lb mol SO3) × (98.07 lb H2SO4 ÷ 1 lb mol H2SO4) = 0.00 lb/hr</v>
      </c>
      <c r="B61" s="859"/>
      <c r="C61" s="859"/>
      <c r="D61" s="859"/>
      <c r="E61" s="859"/>
      <c r="F61" s="860"/>
      <c r="G61" s="193"/>
    </row>
    <row r="62" spans="1:13" ht="20.100000000000001" customHeight="1" x14ac:dyDescent="0.2">
      <c r="A62" s="90" t="s">
        <v>271</v>
      </c>
      <c r="B62" s="415"/>
      <c r="C62" s="415"/>
      <c r="D62" s="415"/>
      <c r="E62" s="415"/>
      <c r="F62" s="415"/>
      <c r="G62" s="139"/>
      <c r="H62" s="387"/>
      <c r="I62" s="387"/>
      <c r="J62" s="387"/>
      <c r="K62" s="387"/>
      <c r="L62" s="387"/>
      <c r="M62" s="387"/>
    </row>
    <row r="63" spans="1:13" ht="20.100000000000001" customHeight="1" x14ac:dyDescent="0.2">
      <c r="A63" s="205" t="s">
        <v>272</v>
      </c>
      <c r="B63" s="206"/>
      <c r="C63" s="206"/>
      <c r="D63" s="206"/>
      <c r="E63" s="206"/>
      <c r="F63" s="354"/>
      <c r="G63" s="139"/>
      <c r="H63" s="387"/>
      <c r="I63" s="387" t="b">
        <f>$I$24</f>
        <v>0</v>
      </c>
      <c r="J63" s="387"/>
      <c r="K63" s="387"/>
      <c r="L63" s="387"/>
      <c r="M63" s="387"/>
    </row>
    <row r="64" spans="1:13" customFormat="1" ht="20.100000000000001" customHeight="1" x14ac:dyDescent="0.2">
      <c r="A64" s="869" t="str">
        <f>"("&amp;TEXT($B$24,"#,##0.00")&amp;" ppm NH3 × 17 lb NH3/lb-mol × "&amp;TEXT($B$26,"#,##0.00")&amp;" scf/min × 60 min/hr) ÷ (379.00 dscf/lb-mol × 1000000) = "&amp;TEXT($B$24*(17/379)*$B$26*(60/1000000),"#,##0.00##")&amp;" lb/hr"</f>
        <v>(0.00 ppm NH3 × 17 lb NH3/lb-mol × 0.00 scf/min × 60 min/hr) ÷ (379.00 dscf/lb-mol × 1000000) = 0.00 lb/hr</v>
      </c>
      <c r="B64" s="870"/>
      <c r="C64" s="870"/>
      <c r="D64" s="870"/>
      <c r="E64" s="870"/>
      <c r="F64" s="871"/>
      <c r="G64" s="193"/>
      <c r="I64" t="b">
        <f>$I$24</f>
        <v>0</v>
      </c>
    </row>
    <row r="65" spans="1:13" ht="20.100000000000001" customHeight="1" x14ac:dyDescent="0.2">
      <c r="A65" s="353" t="s">
        <v>273</v>
      </c>
      <c r="B65" s="271"/>
      <c r="C65" s="271"/>
      <c r="D65" s="271"/>
      <c r="E65" s="271"/>
      <c r="F65" s="271"/>
      <c r="G65" s="139"/>
      <c r="H65" s="387"/>
      <c r="I65" s="387"/>
      <c r="J65" s="387"/>
      <c r="K65" s="387"/>
      <c r="L65" s="387"/>
      <c r="M65" s="387"/>
    </row>
    <row r="66" spans="1:13" customFormat="1" ht="20.100000000000001" customHeight="1" thickBot="1" x14ac:dyDescent="0.25">
      <c r="A66" s="207" t="str">
        <f>"("&amp;TEXT($B$43,"#,##0.00")&amp;" lb/hr × "&amp;$B$25&amp;" hr/yr)"&amp;" ÷  2000 lb/ton = "&amp;TEXT(($B$43*$B$25)/2000,"#,##0.00##")&amp;" tpy"</f>
        <v>(0.00 lb/hr ×  hr/yr) ÷  2000 lb/ton = 0.00 tpy</v>
      </c>
      <c r="B66" s="208"/>
      <c r="C66" s="208"/>
      <c r="D66" s="208"/>
      <c r="E66" s="208"/>
      <c r="F66" s="208"/>
      <c r="G66" s="143"/>
    </row>
    <row r="67" spans="1:13" ht="8.4499999999999993" customHeight="1" x14ac:dyDescent="0.2">
      <c r="A67" s="313"/>
      <c r="B67" s="164"/>
      <c r="C67" s="164"/>
      <c r="D67" s="164"/>
      <c r="E67" s="164"/>
      <c r="F67" s="164"/>
      <c r="G67" s="164"/>
      <c r="H67" s="387"/>
      <c r="I67" s="387"/>
      <c r="J67" s="387"/>
      <c r="K67" s="387"/>
      <c r="L67" s="387"/>
      <c r="M67" s="387"/>
    </row>
    <row r="68" spans="1:13" x14ac:dyDescent="0.2">
      <c r="A68" s="790" t="str">
        <f>HYPERLINK("#Sheet_Eng7","End of sheet. Click here to move to the next sheet.")</f>
        <v>End of sheet. Click here to move to the next sheet.</v>
      </c>
      <c r="B68" s="858"/>
      <c r="C68" s="858"/>
      <c r="D68" s="858"/>
      <c r="E68" s="858"/>
      <c r="F68" s="858"/>
      <c r="G68" s="147"/>
      <c r="H68" s="387"/>
      <c r="I68" s="387"/>
      <c r="J68" s="387"/>
      <c r="K68" s="387"/>
      <c r="L68" s="387"/>
      <c r="M68" s="387"/>
    </row>
    <row r="69" spans="1:13" ht="8.4499999999999993" hidden="1" customHeight="1" x14ac:dyDescent="0.2">
      <c r="A69" s="85"/>
      <c r="B69" s="85"/>
      <c r="C69" s="85"/>
      <c r="D69" s="85"/>
      <c r="E69" s="85"/>
      <c r="F69" s="85"/>
      <c r="G69" s="85"/>
      <c r="H69" s="387"/>
      <c r="I69" s="387"/>
      <c r="J69" s="387"/>
      <c r="K69" s="387"/>
      <c r="L69" s="387"/>
      <c r="M69" s="387"/>
    </row>
    <row r="70" spans="1:13" hidden="1" x14ac:dyDescent="0.2">
      <c r="A70" s="387"/>
      <c r="B70" s="387"/>
      <c r="C70" s="387"/>
      <c r="D70" s="387"/>
      <c r="E70" s="387"/>
      <c r="F70" s="387"/>
      <c r="G70" s="387"/>
      <c r="H70" s="387"/>
      <c r="I70" s="387"/>
      <c r="J70" s="387"/>
      <c r="K70" s="387"/>
      <c r="L70" s="387"/>
      <c r="M70" s="387"/>
    </row>
    <row r="71" spans="1:13" hidden="1" x14ac:dyDescent="0.2">
      <c r="A71" s="387"/>
      <c r="B71" s="387"/>
      <c r="C71" s="387"/>
      <c r="D71" s="387"/>
      <c r="E71" s="387"/>
      <c r="F71" s="387"/>
      <c r="G71" s="387"/>
      <c r="H71" s="387"/>
      <c r="I71" s="387"/>
      <c r="J71" s="387"/>
      <c r="K71" s="387"/>
      <c r="L71" s="387"/>
      <c r="M71" s="387"/>
    </row>
    <row r="72" spans="1:13" hidden="1" x14ac:dyDescent="0.2">
      <c r="A72" s="387"/>
      <c r="B72" s="387"/>
      <c r="C72" s="387"/>
      <c r="D72" s="387"/>
      <c r="E72" s="387"/>
      <c r="F72" s="387"/>
      <c r="G72" s="387"/>
      <c r="H72" s="387"/>
      <c r="I72" s="387"/>
      <c r="J72" s="387"/>
      <c r="K72" s="387"/>
      <c r="L72" s="387"/>
      <c r="M72" s="387"/>
    </row>
    <row r="73" spans="1:13" hidden="1" x14ac:dyDescent="0.2">
      <c r="A73" s="387"/>
      <c r="B73" s="387"/>
      <c r="C73" s="387"/>
      <c r="D73" s="387"/>
      <c r="E73" s="387"/>
      <c r="F73" s="387"/>
      <c r="G73" s="387"/>
      <c r="H73" s="387"/>
      <c r="I73" s="387"/>
      <c r="J73" s="387"/>
      <c r="K73" s="387"/>
      <c r="L73" s="387"/>
      <c r="M73" s="387"/>
    </row>
    <row r="74" spans="1:13" hidden="1" x14ac:dyDescent="0.2">
      <c r="A74" s="387"/>
      <c r="B74" s="387"/>
      <c r="C74" s="387"/>
      <c r="D74" s="387"/>
      <c r="E74" s="387"/>
      <c r="F74" s="387"/>
      <c r="G74" s="387"/>
      <c r="H74" s="387"/>
      <c r="I74" s="387"/>
      <c r="J74" s="387"/>
      <c r="K74" s="387"/>
      <c r="L74" s="387"/>
      <c r="M74" s="387"/>
    </row>
    <row r="75" spans="1:13" hidden="1" x14ac:dyDescent="0.2">
      <c r="A75" s="387"/>
      <c r="B75" s="387"/>
      <c r="C75" s="387"/>
      <c r="D75" s="387"/>
      <c r="E75" s="387"/>
      <c r="F75" s="387"/>
      <c r="G75" s="387"/>
      <c r="H75" s="387"/>
      <c r="I75" s="387"/>
      <c r="J75" s="387"/>
      <c r="K75" s="387"/>
      <c r="L75" s="387"/>
      <c r="M75" s="387"/>
    </row>
    <row r="76" spans="1:13" hidden="1" x14ac:dyDescent="0.2">
      <c r="A76" s="387"/>
      <c r="B76" s="387"/>
      <c r="C76" s="387"/>
      <c r="D76" s="387"/>
      <c r="E76" s="387"/>
      <c r="F76" s="387"/>
      <c r="G76" s="387"/>
      <c r="H76" s="387"/>
      <c r="I76" s="387"/>
      <c r="J76" s="387"/>
      <c r="K76" s="387"/>
      <c r="L76" s="387"/>
      <c r="M76" s="387"/>
    </row>
    <row r="77" spans="1:13" hidden="1" x14ac:dyDescent="0.2">
      <c r="A77" s="387"/>
      <c r="B77" s="387"/>
      <c r="C77" s="387"/>
      <c r="D77" s="387"/>
      <c r="E77" s="387"/>
      <c r="F77" s="387"/>
      <c r="G77" s="387"/>
      <c r="H77" s="387"/>
      <c r="I77" s="387"/>
      <c r="J77" s="387"/>
      <c r="K77" s="387"/>
      <c r="L77" s="387"/>
      <c r="M77" s="387"/>
    </row>
    <row r="78" spans="1:13" hidden="1" x14ac:dyDescent="0.2">
      <c r="A78" s="387"/>
      <c r="B78" s="387"/>
      <c r="C78" s="387"/>
      <c r="D78" s="387"/>
      <c r="E78" s="387"/>
      <c r="F78" s="387"/>
      <c r="G78" s="387"/>
      <c r="H78" s="387"/>
      <c r="I78" s="387"/>
      <c r="J78" s="387"/>
      <c r="K78" s="387"/>
      <c r="L78" s="387"/>
      <c r="M78" s="387"/>
    </row>
    <row r="79" spans="1:13" hidden="1" x14ac:dyDescent="0.2">
      <c r="A79" s="387"/>
      <c r="B79" s="387"/>
      <c r="C79" s="387"/>
      <c r="D79" s="387"/>
      <c r="E79" s="387"/>
      <c r="F79" s="387"/>
      <c r="G79" s="387"/>
      <c r="H79" s="387"/>
      <c r="I79" s="387"/>
      <c r="J79" s="387"/>
      <c r="K79" s="387"/>
      <c r="L79" s="387"/>
      <c r="M79" s="387"/>
    </row>
    <row r="80" spans="1:13" hidden="1" x14ac:dyDescent="0.2">
      <c r="A80" s="387"/>
      <c r="B80" s="387"/>
      <c r="C80" s="387"/>
      <c r="D80" s="387"/>
      <c r="E80" s="387"/>
      <c r="F80" s="387"/>
      <c r="G80" s="387"/>
      <c r="H80" s="387"/>
      <c r="I80" s="387"/>
      <c r="J80" s="387"/>
      <c r="K80" s="387"/>
      <c r="L80" s="387"/>
      <c r="M80" s="387"/>
    </row>
    <row r="81" spans="1:13" hidden="1" x14ac:dyDescent="0.2">
      <c r="A81" s="387"/>
      <c r="B81" s="387"/>
      <c r="C81" s="387"/>
      <c r="D81" s="387"/>
      <c r="E81" s="387"/>
      <c r="F81" s="387"/>
      <c r="G81" s="387"/>
      <c r="H81" s="387"/>
      <c r="I81" s="387"/>
      <c r="J81" s="387"/>
      <c r="K81" s="387"/>
      <c r="L81" s="387"/>
      <c r="M81" s="387"/>
    </row>
    <row r="82" spans="1:13" hidden="1" x14ac:dyDescent="0.2">
      <c r="A82" s="387"/>
      <c r="B82" s="387"/>
      <c r="C82" s="387"/>
      <c r="D82" s="387"/>
      <c r="E82" s="387"/>
      <c r="F82" s="387"/>
      <c r="G82" s="387"/>
      <c r="H82" s="387"/>
      <c r="I82" s="387"/>
      <c r="J82" s="387"/>
      <c r="K82" s="387"/>
      <c r="L82" s="387"/>
      <c r="M82" s="387"/>
    </row>
    <row r="83" spans="1:13" hidden="1" x14ac:dyDescent="0.2">
      <c r="A83" s="387"/>
      <c r="B83" s="387"/>
      <c r="C83" s="387"/>
      <c r="D83" s="387"/>
      <c r="E83" s="387"/>
      <c r="F83" s="387"/>
      <c r="G83" s="387"/>
      <c r="H83" s="387"/>
      <c r="I83" s="387"/>
      <c r="J83" s="387"/>
      <c r="K83" s="387"/>
      <c r="L83" s="387"/>
      <c r="M83" s="387"/>
    </row>
    <row r="84" spans="1:13" hidden="1" x14ac:dyDescent="0.2">
      <c r="A84" s="387"/>
      <c r="B84" s="387"/>
      <c r="C84" s="387"/>
      <c r="D84" s="387"/>
      <c r="E84" s="387"/>
      <c r="F84" s="387"/>
      <c r="G84" s="387"/>
      <c r="H84" s="387"/>
      <c r="I84" s="387"/>
      <c r="J84" s="387"/>
      <c r="K84" s="387"/>
      <c r="L84" s="387"/>
      <c r="M84" s="387"/>
    </row>
  </sheetData>
  <sheetProtection algorithmName="SHA-512" hashValue="zHRbw2ANaqihBIGgRc5g77iQRwHZTIh8nOqOqTy3sJ5i0S5KKeakC+NAJW5Yy3WuLw/m2oQVo4qI7bFhbk9Rnw==" saltValue="Pf7zmdVrDoVapSeYaRXHJg==" spinCount="100000" sheet="1" objects="1" scenarios="1" formatColumns="0" formatRows="0" autoFilter="0"/>
  <mergeCells count="18">
    <mergeCell ref="A59:F59"/>
    <mergeCell ref="A61:F61"/>
    <mergeCell ref="A64:F64"/>
    <mergeCell ref="A52:F52"/>
    <mergeCell ref="A68:F68"/>
    <mergeCell ref="A41:F41"/>
    <mergeCell ref="A1:F1"/>
    <mergeCell ref="A2:E2"/>
    <mergeCell ref="E36:F36"/>
    <mergeCell ref="E37:F37"/>
    <mergeCell ref="E38:F38"/>
    <mergeCell ref="E35:F35"/>
    <mergeCell ref="E34:F34"/>
    <mergeCell ref="E33:F33"/>
    <mergeCell ref="E32:F32"/>
    <mergeCell ref="E31:F31"/>
    <mergeCell ref="E30:F30"/>
    <mergeCell ref="E29:F29"/>
  </mergeCells>
  <conditionalFormatting sqref="A24:D24 A38:F38 A51:E51 A63:F64">
    <cfRule type="expression" dxfId="64" priority="2">
      <formula>$I24</formula>
    </cfRule>
  </conditionalFormatting>
  <conditionalFormatting sqref="A1:G66">
    <cfRule type="expression" dxfId="63" priority="1">
      <formula>$I$1</formula>
    </cfRule>
  </conditionalFormatting>
  <conditionalFormatting sqref="B43:D51">
    <cfRule type="expression" dxfId="62" priority="3">
      <formula>J43</formula>
    </cfRule>
  </conditionalFormatting>
  <dataValidations count="27">
    <dataValidation type="decimal" operator="lessThanOrEqual" allowBlank="1" showErrorMessage="1" promptTitle="Emission Factor" prompt="Enter the emission factor for volatile organic compounds (VOC), in grams per horsepower-hour. The pounds per hour (lb/hr) and tons per year (tpy) will automatically calculate in cells to the right." sqref="B35" xr:uid="{5C769FB2-6262-4EF2-824B-CC95F5610A87}">
      <formula1>100</formula1>
    </dataValidation>
    <dataValidation type="list" allowBlank="1" showErrorMessage="1" promptTitle="UTM Zone" prompt="Enter the UTM Coordinates zone for the EPN &quot;Engine1&quot;. In Texas, this must be 13, 14, or 15." sqref="B8" xr:uid="{6F9E1ECE-BB77-49ED-82CA-7F108CBC1896}">
      <formula1>"13,14,15"</formula1>
    </dataValidation>
    <dataValidation type="decimal" allowBlank="1" showErrorMessage="1" errorTitle="East (Meters)" error="Enter a value between 205000 and 795000 meters." promptTitle="UTM East" prompt="Enter the distance east of the zone datum for this EPN, in meters. This is a six-digit number between 205000 and 795000." sqref="B9" xr:uid="{E0871B78-5C38-4275-9D04-17AB01375EB3}">
      <formula1>205000</formula1>
      <formula2>795000</formula2>
    </dataValidation>
    <dataValidation type="decimal" allowBlank="1" showErrorMessage="1" errorTitle="North (Meters)" error="Enter a value between 2854000 and 4059000 meters." promptTitle="UTM North" prompt="Enter the distance north of the zone datum for this EPN, in meters. This is a six-digit number between 2854000 and 4059000." sqref="B10" xr:uid="{9B47C717-12CA-4DB8-9B45-2C5CF5EACA12}">
      <formula1>2854000</formula1>
      <formula2>4059000</formula2>
    </dataValidation>
    <dataValidation operator="greaterThanOrEqual" allowBlank="1" showErrorMessage="1" errorTitle="Maximum Value Exceeded" error="Please enter a value for this parameter below the maximum value." promptTitle="Input Parameters" prompt="Enter the rated brake horsepower (BHP) in horsepower (hp). Note that this value must be less than __." sqref="B18" xr:uid="{FDC84F3C-E13B-4C85-B405-F7CDE329BBD1}"/>
    <dataValidation type="decimal" operator="greaterThanOrEqual" allowBlank="1" showErrorMessage="1" errorTitle="Parameter Below Minimum Value" error="Please enter a value for this parameter that is larger than the minimum value." promptTitle="Input Parameters" prompt="Enter the velocity of the emisions, in feet per second. Note that this value must be greater than 168.7 feet per second." sqref="B17" xr:uid="{5A7D8A3D-6531-4C6B-9592-0FFE6C5A9E13}">
      <formula1>C17</formula1>
    </dataValidation>
    <dataValidation type="decimal" operator="greaterThanOrEqual" allowBlank="1" showErrorMessage="1" errorTitle="Parameter Below Minimum Value" error="Please enter a value for this parameter that is larger than the minimum value." promptTitle="Input Parameters" prompt="Enter the Temperature in degrees Fahrenheit for this EPN. Note that this must be at least 828 degrees." sqref="B16" xr:uid="{2234BC05-AEF9-42D5-8637-2570D4F34D15}">
      <formula1>C16</formula1>
    </dataValidation>
    <dataValidation type="decimal" operator="greaterThanOrEqual" allowBlank="1" showErrorMessage="1" errorTitle="Parameter Below Minimum Value" error="Please enter a value for this parameter that is larger than the minimum value." promptTitle="Imput Parameters" prompt="Enter the stack diameter. With this permit, the stack must be at least 0.66 feet wide." sqref="B15" xr:uid="{41B1D762-A558-4930-B9BC-A03A57C762DC}">
      <formula1>C15</formula1>
    </dataValidation>
    <dataValidation type="decimal" operator="greaterThanOrEqual" allowBlank="1" showErrorMessage="1" errorTitle="Parameter Below Minimum Value" error="Please enter a value for this parameter that is larger than the minimum value." promptTitle="Input Parameters" prompt="Enter the release height of this EPN. This must be at least 25 feet." sqref="B14" xr:uid="{0D82523C-120C-4DC0-A43C-1C211396C48F}">
      <formula1>C14</formula1>
    </dataValidation>
    <dataValidation type="decimal" operator="lessThanOrEqual" allowBlank="1" showErrorMessage="1" errorTitle="Maximum Value Exceeded" error="Please enter a value for this parameter below the maximum value." promptTitle="Input Parameters" prompt="Enter the annual operating schedule in total hours per year. Note that this value must be below 300 hours per year." sqref="B25" xr:uid="{D7E3F59B-EF78-4B92-A225-B4F6BE54AA09}">
      <formula1>D25</formula1>
    </dataValidation>
    <dataValidation allowBlank="1" showErrorMessage="1" promptTitle="Source Name" prompt="Enter the Source Name for the engine." sqref="B7" xr:uid="{1AB06ED4-95A2-4604-B55A-CE12E1EF0215}"/>
    <dataValidation allowBlank="1" showErrorMessage="1" prompt="select source of emission factor" sqref="D36:D38" xr:uid="{8281A82D-F2FF-44BD-8573-C20B677BAE5F}"/>
    <dataValidation type="decimal" operator="lessThanOrEqual" allowBlank="1" showErrorMessage="1" promptTitle="Emission Factor" prompt="Enter the emission factor for carbon monoxide, in grams per horsepower-hour. The pounds per hour (lb/hr) and tons per year (tpy) will automatically calculate in cells to the right." sqref="B31" xr:uid="{E03C1F6F-38C5-4F21-87C7-C1B93BE06124}">
      <formula1>C44*453.6/$B$18</formula1>
    </dataValidation>
    <dataValidation type="decimal" operator="lessThanOrEqual" allowBlank="1" showErrorMessage="1" promptTitle="Emission Factor" prompt="Enter the emission factor for NOx, in grams per horsepower-hour. The pounds per hour (lb/hr) and tons per year (tpy) will automatically calculate in cells to the right." sqref="B30" xr:uid="{95201E3F-A204-47A7-8FE2-557BAAE7BB25}">
      <formula1>C43*453.6/$B$18</formula1>
    </dataValidation>
    <dataValidation type="list" allowBlank="1" showInputMessage="1" showErrorMessage="1" sqref="D30:D35" xr:uid="{7B89CC90-DDAB-4C72-95F9-97CF49829F72}">
      <formula1>EngDDSource</formula1>
    </dataValidation>
    <dataValidation type="decimal" operator="lessThanOrEqual" allowBlank="1" showErrorMessage="1" promptTitle="Input Parameters" prompt="Enter the ammonia concentration in ppm." sqref="B24" xr:uid="{514E243C-895C-4580-B80B-17D8D35EDFD9}">
      <formula1>10</formula1>
    </dataValidation>
    <dataValidation type="decimal" operator="lessThanOrEqual" allowBlank="1" showErrorMessage="1" promptTitle="Input Parameters" prompt="Enter the sulfur content of the diesel." sqref="B20" xr:uid="{CA26C226-F71A-48EF-BDFD-829CFDECB5A4}">
      <formula1>15</formula1>
    </dataValidation>
    <dataValidation type="list" allowBlank="1" showErrorMessage="1" promptTitle="Input Parameters" prompt="Is there a diesel filter? Select or enter yes or no." sqref="B23" xr:uid="{F89E37FC-B4CF-4A99-8AFB-6BFB5775AC35}">
      <formula1>"Yes,No"</formula1>
    </dataValidation>
    <dataValidation type="list" allowBlank="1" showErrorMessage="1" promptTitle="Input Parameters" prompt="Is there an oxidation catalyst? Select or enter yes or no." sqref="B22" xr:uid="{7DD06709-982A-4C16-894C-224CF600E9DF}">
      <formula1>"Yes,No"</formula1>
    </dataValidation>
    <dataValidation type="decimal" operator="greaterThanOrEqual" allowBlank="1" showErrorMessage="1" errorTitle="Maximum Value Exceeded" error="Please enter a value for this parameter below the maximum value." prompt="Exhaust gas flow rate is deteremined by input parameters." sqref="B26" xr:uid="{1C50C213-5DC0-4AC7-AD71-685D3E708B77}">
      <formula1>0</formula1>
    </dataValidation>
    <dataValidation type="list" allowBlank="1" showErrorMessage="1" promptTitle="Input Parameters" prompt="Is there a selective catalytic reduction (SCR) system for this engine? Select or enter yes or no." sqref="B21" xr:uid="{ED3927C6-9B74-4F53-A18A-34EA1FB7228E}">
      <formula1>"Yes,No"</formula1>
    </dataValidation>
    <dataValidation operator="lessThanOrEqual" allowBlank="1" showErrorMessage="1" promptTitle="Emission Factor" prompt="Enter the emission factor for particulate matter with diameters 2.5 microns or less (PM2.5), in grams per horsepower-hour. The pounds per hour (lb/hr) and tons per year (tpy) will automatically calculate in cells to the right." sqref="B34" xr:uid="{920D96A6-A676-49C7-B69B-26E9BD64A312}"/>
    <dataValidation operator="lessThanOrEqual" allowBlank="1" showErrorMessage="1" promptTitle="Emission Factor" prompt="Enter the emission factor for particulate matter with diameters 10 microns or less (PM10), in grams per horsepower-hour. The pounds per hour (lb/hr) and tons per year (tpy) will automatically calculate in cells to the right." sqref="B33" xr:uid="{77814BA4-2304-4959-A041-816DDC588E32}"/>
    <dataValidation operator="lessThanOrEqual" allowBlank="1" showErrorMessage="1" promptTitle="Emission Factor" prompt="Enter the emission factor for particulate matter (PM), in grams per horsepower-hour. The pounds per hour (lb/hr) and tons per year (tpy) will automatically calculate in cells to the right." sqref="B32" xr:uid="{0A4379FD-5C08-4136-ACF6-EEE1B64DE025}"/>
    <dataValidation allowBlank="1" showErrorMessage="1" prompt="This cell intentionally left blank for internal comments. All internal comments must be submitted prior to application submittal." sqref="G3:G66 F41" xr:uid="{E7DAE6CF-4B55-4ECE-A5C8-FB673836F90D}"/>
    <dataValidation type="textLength" allowBlank="1" showErrorMessage="1" promptTitle="FIN" prompt="Input the Facility Identification Number for the engine.  Limited to 10 alphanumeric characters." sqref="B6" xr:uid="{8F03EEAC-1DA0-4C12-B2AC-62AF32214AFD}">
      <formula1>0</formula1>
      <formula2>10</formula2>
    </dataValidation>
    <dataValidation type="decimal" operator="greaterThanOrEqual" allowBlank="1" showErrorMessage="1" errorTitle="Maximum Value Exceeded" error="Please enter a value for this parameter below the maximum value." promptTitle="Input Parameters" prompt="Enter the fuel consumption rate, in pounds of diesel per horsepower-hour._x000a_" sqref="B19" xr:uid="{7F3B57A7-0EDB-4AE1-84BC-35D57E1516D4}">
      <formula1>0</formula1>
    </dataValidation>
  </dataValidations>
  <printOptions horizontalCentered="1"/>
  <pageMargins left="0.25" right="0.25" top="0.57395833333333302" bottom="0.61354166666666698" header="0.3" footer="0.3"/>
  <pageSetup scale="73" orientation="portrait" r:id="rId1"/>
  <headerFooter>
    <oddHeader>&amp;C&amp;"Arial,Regular"Engine Power Generation RAP Application</oddHeader>
    <oddFooter>&amp;L&amp;"Arial,Regular"Version: 1.0&amp;C&amp;"Arial,Regular"Sheet: &amp;A&amp;R&amp;"Arial,Regular"Page &amp;P</oddFooter>
  </headerFooter>
  <rowBreaks count="1" manualBreakCount="1">
    <brk id="52" max="16383" man="1"/>
  </rowBreaks>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l W R U 0 2 F 4 z C k A A A A 9 Q A A A B I A H A B D b 2 5 m a W c v U G F j a 2 F n Z S 5 4 b W w g o h g A K K A U A A A A A A A A A A A A A A A A A A A A A A A A A A A A h Y + x D o I w G I R f h X S n L T U m S H 7 K 4 C q J C d G 4 N q V C I x R D i + X d H H w k X 0 G M o m 6 O 9 9 1 d c n e / 3 i A b 2 y a 4 q N 7 q z q Q o w h Q F y s i u 1 K Z K 0 e C O Y Y w y D l s h T 6 J S w R Q 2 N h m t T l H t 3 D k h x H u P / Q J 3 f U U Y p R E 5 5 J t C 1 q o V o T b W C S M V + r T K / y 3 E Y f 8 a w x l e U b y M G a Z A Z g a 5 N l + f T X O f 7 g + E 9 d C 4 o V d c m X B X A J k l k P c F / g B Q S w M E F A A C A A g A 5 l W R 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Z V k V M o i k e 4 D g A A A B E A A A A T A B w A R m 9 y b X V s Y X M v U 2 V j d G l v b j E u b S C i G A A o o B Q A A A A A A A A A A A A A A A A A A A A A A A A A A A A r T k 0 u y c z P U w i G 0 I b W A F B L A Q I t A B Q A A g A I A O Z V k V N N h e M w p A A A A P U A A A A S A A A A A A A A A A A A A A A A A A A A A A B D b 2 5 m a W c v U G F j a 2 F n Z S 5 4 b W x Q S w E C L Q A U A A I A C A D m V Z F T D 8 r p q 6 Q A A A D p A A A A E w A A A A A A A A A A A A A A A A D w A A A A W 0 N v b n R l b n R f V H l w Z X N d L n h t b F B L A Q I t A B Q A A g A I A O Z V k V 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a t j z x p e t Q I K q 6 w F R H X r d A A A A A A I A A A A A A A N m A A D A A A A A E A A A A N L D 4 u k r V I w G j Z 3 N P 3 I w j G w A A A A A B I A A A K A A A A A Q A A A A s 0 v y Z A J S l + m m u c l z K a f B C l A A A A D R k P 4 C T A G Q t o R o O G n 6 Y x Q Z 9 v R G o w K T 9 A y D X X t y j u S b c G 2 L 2 K G 7 E k l F R A g n V w 5 u b t p + 1 H 3 R j G h v z G e x i j J o 4 Y l s 4 L O r Y v j F f 8 G m 5 x M O m D w t 8 R Q A A A D t u w y 8 D + t C V q f K E f g i a A F B M g t 7 o g = = < / D a t a M a s h u p > 
</file>

<file path=customXml/itemProps1.xml><?xml version="1.0" encoding="utf-8"?>
<ds:datastoreItem xmlns:ds="http://schemas.openxmlformats.org/officeDocument/2006/customXml" ds:itemID="{0D9768F3-C1D3-492B-BB04-B380CDAA4FA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30</vt:i4>
      </vt:variant>
    </vt:vector>
  </HeadingPairs>
  <TitlesOfParts>
    <vt:vector size="53" baseType="lpstr">
      <vt:lpstr>Instructions</vt:lpstr>
      <vt:lpstr>PI-1-PowerEngine</vt:lpstr>
      <vt:lpstr>Fees</vt:lpstr>
      <vt:lpstr>ENGINE1</vt:lpstr>
      <vt:lpstr>ENGINE2</vt:lpstr>
      <vt:lpstr>ENGINE3</vt:lpstr>
      <vt:lpstr>ENGINE4</vt:lpstr>
      <vt:lpstr>ENGINE5</vt:lpstr>
      <vt:lpstr>ENGINE6</vt:lpstr>
      <vt:lpstr>ENGINE7</vt:lpstr>
      <vt:lpstr>ENGINE8</vt:lpstr>
      <vt:lpstr>ENGINE9</vt:lpstr>
      <vt:lpstr>ENGINE10</vt:lpstr>
      <vt:lpstr>ENGINE Summary</vt:lpstr>
      <vt:lpstr>Tanks</vt:lpstr>
      <vt:lpstr>Public Notice</vt:lpstr>
      <vt:lpstr>Baseline</vt:lpstr>
      <vt:lpstr>Federal Applicability</vt:lpstr>
      <vt:lpstr>BACT</vt:lpstr>
      <vt:lpstr>AQA</vt:lpstr>
      <vt:lpstr>Tox</vt:lpstr>
      <vt:lpstr>CND</vt:lpstr>
      <vt:lpstr>Project Summary</vt:lpstr>
      <vt:lpstr>Counties</vt:lpstr>
      <vt:lpstr>CountyName</vt:lpstr>
      <vt:lpstr>EngDDSource</vt:lpstr>
      <vt:lpstr>ENGINE_Summary</vt:lpstr>
      <vt:lpstr>Sheet_AQA</vt:lpstr>
      <vt:lpstr>Sheet_BACT</vt:lpstr>
      <vt:lpstr>Sheet_Base</vt:lpstr>
      <vt:lpstr>Sheet_CND</vt:lpstr>
      <vt:lpstr>Sheet_CurrentPTE</vt:lpstr>
      <vt:lpstr>Sheet_EmisSum</vt:lpstr>
      <vt:lpstr>Sheet_Eng1</vt:lpstr>
      <vt:lpstr>Sheet_Eng10</vt:lpstr>
      <vt:lpstr>Sheet_Eng2</vt:lpstr>
      <vt:lpstr>Sheet_Eng3</vt:lpstr>
      <vt:lpstr>Sheet_Eng4</vt:lpstr>
      <vt:lpstr>Sheet_Eng5</vt:lpstr>
      <vt:lpstr>Sheet_Eng6</vt:lpstr>
      <vt:lpstr>Sheet_Eng7</vt:lpstr>
      <vt:lpstr>Sheet_Eng8</vt:lpstr>
      <vt:lpstr>Sheet_Eng9</vt:lpstr>
      <vt:lpstr>Sheet_FedApp</vt:lpstr>
      <vt:lpstr>Sheet_Fees</vt:lpstr>
      <vt:lpstr>Sheet_Ins</vt:lpstr>
      <vt:lpstr>Sheet_PI1</vt:lpstr>
      <vt:lpstr>Sheet_PN</vt:lpstr>
      <vt:lpstr>Sheet_ProcessFlow</vt:lpstr>
      <vt:lpstr>Sheet_Project_Summary</vt:lpstr>
      <vt:lpstr>Sheet_Tanks</vt:lpstr>
      <vt:lpstr>Sheet_Tox</vt:lpstr>
      <vt:lpstr>TodaysDate</vt:lpstr>
    </vt:vector>
  </TitlesOfParts>
  <Manager/>
  <Company>TCEQ</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20952 - Readily Available Permit: Engine Power Generation (RAP: PowerEngine)</dc:title>
  <dc:subject>TCEQ - Readily Available Permit: Engine Power Generation (RAP: PowerEngine)</dc:subject>
  <dc:creator>TCEQ</dc:creator>
  <cp:keywords>RAP, power, engine, diesel, emission, nonattainment, NSR, netting, site, tank, flow, BACT, combustion, and federal</cp:keywords>
  <dc:description/>
  <cp:lastModifiedBy>Traci Spencer</cp:lastModifiedBy>
  <cp:revision/>
  <cp:lastPrinted>2022-05-20T14:58:02Z</cp:lastPrinted>
  <dcterms:created xsi:type="dcterms:W3CDTF">2017-11-08T21:07:57Z</dcterms:created>
  <dcterms:modified xsi:type="dcterms:W3CDTF">2023-12-11T15:11:26Z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RapPowerEngine</vt:lpwstr>
  </property>
  <property fmtid="{D5CDD505-2E9C-101B-9397-08002B2CF9AE}" pid="3" name="Version Date">
    <vt:filetime>2023-12-15T10:00:00Z</vt:filetime>
  </property>
  <property fmtid="{D5CDD505-2E9C-101B-9397-08002B2CF9AE}" pid="4" name="Version Number">
    <vt:lpwstr>2.1</vt:lpwstr>
  </property>
</Properties>
</file>