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1.xml" ContentType="application/vnd.openxmlformats-officedocument.drawing+xml"/>
  <Override PartName="/xl/ink/ink1.xml" ContentType="application/inkml+xml"/>
  <Override PartName="/xl/ink/ink2.xml" ContentType="application/inkml+xml"/>
  <Override PartName="/xl/drawings/drawing2.xml" ContentType="application/vnd.openxmlformats-officedocument.drawing+xml"/>
  <Override PartName="/xl/tables/table2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defaultThemeVersion="166925"/>
  <mc:AlternateContent xmlns:mc="http://schemas.openxmlformats.org/markup-compatibility/2006">
    <mc:Choice Requires="x15">
      <x15ac:absPath xmlns:x15ac="http://schemas.microsoft.com/office/spreadsheetml/2010/11/ac" url="P:\DSS\APD\Forms-Tables-Checklist-Guidance\Field Creation Folder\Traci Spencer\1 Working\2024\Apr\Project 2988\"/>
    </mc:Choice>
  </mc:AlternateContent>
  <xr:revisionPtr revIDLastSave="0" documentId="13_ncr:1_{AF242DEA-9BCF-475B-86D4-484C25C03A9F}" xr6:coauthVersionLast="47" xr6:coauthVersionMax="47" xr10:uidLastSave="{00000000-0000-0000-0000-000000000000}"/>
  <workbookProtection workbookAlgorithmName="SHA-512" workbookHashValue="LabFI7RceX9GFQQ916copCjNXu+15ysM99h7QLIV09IiPgEdJGadGEHzSU1BeWF/r6KHWCtktflxP9hsRz/G4w==" workbookSaltValue="06Kqf3w3eOOouvo0Y1UAJg==" workbookSpinCount="100000" lockStructure="1"/>
  <bookViews>
    <workbookView xWindow="-120" yWindow="-120" windowWidth="29040" windowHeight="15840" tabRatio="853" xr2:uid="{8F62DAC5-C2AE-4A49-9890-4CA5F81526F3}"/>
  </bookViews>
  <sheets>
    <sheet name="Cover" sheetId="1" r:id="rId1"/>
    <sheet name="General Information" sheetId="2" r:id="rId2"/>
    <sheet name="Checklist" sheetId="25" r:id="rId3"/>
    <sheet name="Material Handling" sheetId="35" r:id="rId4"/>
    <sheet name="Drop Point" sheetId="32" r:id="rId5"/>
    <sheet name="Control - Grain dscf" sheetId="34" r:id="rId6"/>
    <sheet name="Control - Alt" sheetId="45" r:id="rId7"/>
    <sheet name="Stockpile" sheetId="33" r:id="rId8"/>
    <sheet name="Asphalt Silo &amp; Unloading" sheetId="36" r:id="rId9"/>
    <sheet name="Emission Summary" sheetId="38" r:id="rId10"/>
    <sheet name="Emission Summary - Alt" sheetId="40" r:id="rId11"/>
    <sheet name="Workbook Guidance" sheetId="42" r:id="rId12"/>
    <sheet name="Project Summary" sheetId="3" state="veryHidden" r:id="rId13"/>
    <sheet name="Ref-Moisture" sheetId="31" state="veryHidden" r:id="rId14"/>
    <sheet name="TRV" sheetId="15" state="veryHidden" r:id="rId15"/>
    <sheet name="Reference" sheetId="13" state="veryHidden" r:id="rId16"/>
    <sheet name="Acronyms" sheetId="14" state="veryHidden" r:id="rId17"/>
    <sheet name="data" sheetId="29" state="veryHidden" r:id="rId18"/>
    <sheet name="Ref-FedAppl" sheetId="39" state="veryHidden" r:id="rId19"/>
    <sheet name="REF - moist" sheetId="47" state="veryHidden" r:id="rId20"/>
  </sheets>
  <definedNames>
    <definedName name="_xlnm._FilterDatabase" localSheetId="2" hidden="1">Checklist!$A$12:$A$95</definedName>
    <definedName name="_xlnm._FilterDatabase" localSheetId="18" hidden="1">'Ref-FedAppl'!$F$2:$J$30</definedName>
    <definedName name="Abbrev">Acronyms!$A$1</definedName>
    <definedName name="Alt_Emission_Summary">'Emission Summary - Alt'!$A$1</definedName>
    <definedName name="Checklist">Checklist!$A$1</definedName>
    <definedName name="City_DDL">Reference!$A$228:$A$247</definedName>
    <definedName name="Cover">Cover!$A$1</definedName>
    <definedName name="Emission_Summary">'Emission Summary'!$A$1</definedName>
    <definedName name="Emission_Summary_Table">'Emission Summary'!$A$1</definedName>
    <definedName name="EmisSum">'Project Summary'!$A$1</definedName>
    <definedName name="General">'General Information'!$A$1</definedName>
    <definedName name="GI_Rule_Select">Table2[#All]</definedName>
    <definedName name="i.Material_Handing">'Material Handling'!$A$1</definedName>
    <definedName name="ii.drop">'Drop Point'!$A$1</definedName>
    <definedName name="iii.control_dscf">'Control - Grain dscf'!$A$1</definedName>
    <definedName name="iv.control_alt">'Control - Alt'!$A$1</definedName>
    <definedName name="Material_Handing">'Material Handling'!$A$1</definedName>
    <definedName name="Material_Handling_T">Material_Handling[]</definedName>
    <definedName name="_xlnm.Print_Area" localSheetId="2">Checklist!$A$1:$C$97</definedName>
    <definedName name="_xlnm.Print_Area" localSheetId="3">'Material Handling'!$A$1:$AA$35</definedName>
    <definedName name="T_dV_Gr_per_dscf">dV_Gr_per_dscf[]</definedName>
    <definedName name="T_dV_or_dM_Conv">control_alt[]</definedName>
    <definedName name="units">Reference!$A$74:$A$88</definedName>
    <definedName name="v.Stockpile">Stockpile!$A$1</definedName>
    <definedName name="vi.Silo">'Asphalt Silo &amp; Unloading'!$A$1</definedName>
    <definedName name="WKB_GUIDE">'Workbook Guidance'!$A$1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7" i="35" l="1"/>
  <c r="A18" i="35" s="1"/>
  <c r="A13" i="34"/>
  <c r="A14" i="34" s="1"/>
  <c r="A15" i="34" s="1"/>
  <c r="A16" i="34" s="1"/>
  <c r="A17" i="34" s="1"/>
  <c r="A13" i="45"/>
  <c r="A14" i="45" s="1"/>
  <c r="A15" i="45" s="1"/>
  <c r="A16" i="45" s="1"/>
  <c r="A17" i="45" s="1"/>
  <c r="A11" i="33"/>
  <c r="A12" i="33" s="1"/>
  <c r="A13" i="33" s="1"/>
  <c r="A14" i="33" s="1"/>
  <c r="A15" i="32"/>
  <c r="A16" i="32" s="1"/>
  <c r="A17" i="32" s="1"/>
  <c r="A18" i="32" s="1"/>
  <c r="A19" i="32" s="1"/>
  <c r="A20" i="32" s="1"/>
  <c r="A21" i="32" s="1"/>
  <c r="A22" i="32" s="1"/>
  <c r="A23" i="32" s="1"/>
  <c r="A24" i="32" s="1"/>
  <c r="A25" i="32" s="1"/>
  <c r="A26" i="32" s="1"/>
  <c r="A12" i="45"/>
  <c r="A11" i="35"/>
  <c r="A18" i="36" l="1"/>
  <c r="A19" i="36" s="1"/>
  <c r="A35" i="35" l="1"/>
  <c r="A14" i="42"/>
  <c r="D22" i="34" l="1"/>
  <c r="D25" i="34"/>
  <c r="M25" i="34"/>
  <c r="M26" i="34" s="1"/>
  <c r="L25" i="34"/>
  <c r="L26" i="34" s="1"/>
  <c r="K25" i="34"/>
  <c r="K26" i="34" s="1"/>
  <c r="J25" i="34"/>
  <c r="J26" i="34" s="1"/>
  <c r="I25" i="34"/>
  <c r="I26" i="34" s="1"/>
  <c r="H25" i="34"/>
  <c r="H26" i="34" s="1"/>
  <c r="G25" i="34"/>
  <c r="G26" i="34" s="1"/>
  <c r="F25" i="34"/>
  <c r="F26" i="34" s="1"/>
  <c r="E25" i="34"/>
  <c r="E26" i="34" s="1"/>
  <c r="M22" i="34"/>
  <c r="M23" i="34" s="1"/>
  <c r="L22" i="34"/>
  <c r="L23" i="34" s="1"/>
  <c r="K22" i="34"/>
  <c r="K23" i="34" s="1"/>
  <c r="J22" i="34"/>
  <c r="J23" i="34" s="1"/>
  <c r="I22" i="34"/>
  <c r="I23" i="34" s="1"/>
  <c r="H22" i="34"/>
  <c r="H23" i="34" s="1"/>
  <c r="G22" i="34"/>
  <c r="G23" i="34" s="1"/>
  <c r="F22" i="34"/>
  <c r="F23" i="34" s="1"/>
  <c r="E22" i="34"/>
  <c r="E23" i="34" s="1"/>
  <c r="M19" i="34"/>
  <c r="M20" i="34" s="1"/>
  <c r="L19" i="34"/>
  <c r="L20" i="34" s="1"/>
  <c r="K19" i="34"/>
  <c r="K20" i="34" s="1"/>
  <c r="J19" i="34"/>
  <c r="J20" i="34" s="1"/>
  <c r="I19" i="34"/>
  <c r="I20" i="34" s="1"/>
  <c r="H19" i="34"/>
  <c r="H20" i="34" s="1"/>
  <c r="G19" i="34"/>
  <c r="G20" i="34" s="1"/>
  <c r="F19" i="34"/>
  <c r="F20" i="34" s="1"/>
  <c r="E19" i="34"/>
  <c r="E20" i="34" s="1"/>
  <c r="D19" i="34"/>
  <c r="A39" i="1" l="1"/>
  <c r="A40" i="1"/>
  <c r="A41" i="1"/>
  <c r="D18" i="45"/>
  <c r="A46" i="1"/>
  <c r="A395" i="13" l="1"/>
  <c r="A396" i="13" s="1"/>
  <c r="A397" i="13" s="1"/>
  <c r="A398" i="13" s="1"/>
  <c r="A399" i="13" s="1"/>
  <c r="A400" i="13" s="1"/>
  <c r="A401" i="13" s="1"/>
  <c r="A402" i="13" s="1"/>
  <c r="A403" i="13" s="1"/>
  <c r="A404" i="13" s="1"/>
  <c r="A405" i="13" s="1"/>
  <c r="A406" i="13" s="1"/>
  <c r="A407" i="13" s="1"/>
  <c r="A408" i="13" s="1"/>
  <c r="A409" i="13" s="1"/>
  <c r="A410" i="13" s="1"/>
  <c r="A411" i="13" s="1"/>
  <c r="A412" i="13" s="1"/>
  <c r="A413" i="13" s="1"/>
  <c r="A414" i="13" s="1"/>
  <c r="A415" i="13" s="1"/>
  <c r="A416" i="13" s="1"/>
  <c r="A417" i="13" s="1"/>
  <c r="A418" i="13" s="1"/>
  <c r="A419" i="13" s="1"/>
  <c r="A420" i="13" s="1"/>
  <c r="A421" i="13" s="1"/>
  <c r="A422" i="13" s="1"/>
  <c r="A423" i="13" s="1"/>
  <c r="A424" i="13" s="1"/>
  <c r="A425" i="13" s="1"/>
  <c r="A426" i="13" s="1"/>
  <c r="A427" i="13" s="1"/>
  <c r="A428" i="13" s="1"/>
  <c r="A429" i="13" s="1"/>
  <c r="A430" i="13" s="1"/>
  <c r="A431" i="13" s="1"/>
  <c r="A432" i="13" s="1"/>
  <c r="A433" i="13" s="1"/>
  <c r="A434" i="13" s="1"/>
  <c r="A435" i="13" s="1"/>
  <c r="A436" i="13" s="1"/>
  <c r="A437" i="13" s="1"/>
  <c r="A438" i="13" s="1"/>
  <c r="A439" i="13" s="1"/>
  <c r="A440" i="13" s="1"/>
  <c r="A441" i="13" s="1"/>
  <c r="A442" i="13" s="1"/>
  <c r="A443" i="13" s="1"/>
  <c r="A444" i="13" s="1"/>
  <c r="A445" i="13" s="1"/>
  <c r="A446" i="13" s="1"/>
  <c r="A447" i="13" s="1"/>
  <c r="A448" i="13" s="1"/>
  <c r="A449" i="13" s="1"/>
  <c r="A450" i="13" s="1"/>
  <c r="A451" i="13" s="1"/>
  <c r="A452" i="13" s="1"/>
  <c r="A453" i="13" s="1"/>
  <c r="R9" i="40"/>
  <c r="R10" i="40" s="1"/>
  <c r="R11" i="40" s="1"/>
  <c r="R12" i="40" s="1"/>
  <c r="R13" i="40" s="1"/>
  <c r="R14" i="40" s="1"/>
  <c r="R15" i="40" s="1"/>
  <c r="R16" i="40" s="1"/>
  <c r="R17" i="40" s="1"/>
  <c r="R18" i="40" s="1"/>
  <c r="R19" i="40" s="1"/>
  <c r="R20" i="40" s="1"/>
  <c r="R21" i="40" s="1"/>
  <c r="R22" i="40" s="1"/>
  <c r="R23" i="40" s="1"/>
  <c r="R24" i="40" s="1"/>
  <c r="R25" i="40" s="1"/>
  <c r="R26" i="40" s="1"/>
  <c r="R27" i="40" s="1"/>
  <c r="R28" i="40" s="1"/>
  <c r="R29" i="40" s="1"/>
  <c r="R30" i="40" s="1"/>
  <c r="R31" i="40" s="1"/>
  <c r="R32" i="40" s="1"/>
  <c r="R33" i="40" s="1"/>
  <c r="R34" i="40" s="1"/>
  <c r="R35" i="40" s="1"/>
  <c r="R36" i="40" s="1"/>
  <c r="R37" i="40" s="1"/>
  <c r="R38" i="40" s="1"/>
  <c r="R39" i="40" s="1"/>
  <c r="R40" i="40" s="1"/>
  <c r="R41" i="40" s="1"/>
  <c r="R42" i="40" s="1"/>
  <c r="R43" i="40" s="1"/>
  <c r="R44" i="40" s="1"/>
  <c r="R45" i="40" s="1"/>
  <c r="R46" i="40" s="1"/>
  <c r="R47" i="40" s="1"/>
  <c r="R48" i="40" s="1"/>
  <c r="R49" i="40" s="1"/>
  <c r="R50" i="40" s="1"/>
  <c r="R51" i="40" s="1"/>
  <c r="R52" i="40" s="1"/>
  <c r="R53" i="40" s="1"/>
  <c r="R54" i="40" s="1"/>
  <c r="R55" i="40" s="1"/>
  <c r="R56" i="40" s="1"/>
  <c r="R57" i="40" s="1"/>
  <c r="R58" i="40" s="1"/>
  <c r="R59" i="40" s="1"/>
  <c r="R60" i="40" s="1"/>
  <c r="R61" i="40" s="1"/>
  <c r="R62" i="40" s="1"/>
  <c r="R63" i="40" s="1"/>
  <c r="R64" i="40" s="1"/>
  <c r="R65" i="40" s="1"/>
  <c r="R66" i="40" s="1"/>
  <c r="R88" i="40" s="1"/>
  <c r="Q10" i="38"/>
  <c r="Q11" i="38" s="1"/>
  <c r="Q12" i="38" s="1"/>
  <c r="Q13" i="38" s="1"/>
  <c r="Q14" i="38" s="1"/>
  <c r="Q15" i="38" s="1"/>
  <c r="Q16" i="38" s="1"/>
  <c r="Q17" i="38" s="1"/>
  <c r="Q18" i="38" s="1"/>
  <c r="Q19" i="38" s="1"/>
  <c r="Q20" i="38" s="1"/>
  <c r="Q21" i="38" s="1"/>
  <c r="Q22" i="38" s="1"/>
  <c r="Q23" i="38" s="1"/>
  <c r="Q24" i="38" s="1"/>
  <c r="Q25" i="38" s="1"/>
  <c r="Q26" i="38" s="1"/>
  <c r="Q27" i="38" s="1"/>
  <c r="Q28" i="38" s="1"/>
  <c r="Q29" i="38" s="1"/>
  <c r="Q30" i="38" s="1"/>
  <c r="Q31" i="38" s="1"/>
  <c r="Q32" i="38" s="1"/>
  <c r="Q33" i="38" s="1"/>
  <c r="Q34" i="38" s="1"/>
  <c r="Q35" i="38" s="1"/>
  <c r="Q36" i="38" s="1"/>
  <c r="Q37" i="38" s="1"/>
  <c r="Q38" i="38" s="1"/>
  <c r="Q39" i="38" s="1"/>
  <c r="Q40" i="38" s="1"/>
  <c r="Q41" i="38" s="1"/>
  <c r="Q42" i="38" s="1"/>
  <c r="Q43" i="38" s="1"/>
  <c r="Q44" i="38" s="1"/>
  <c r="Q45" i="38" s="1"/>
  <c r="Q46" i="38" s="1"/>
  <c r="Q47" i="38" s="1"/>
  <c r="Q48" i="38" s="1"/>
  <c r="Q49" i="38" s="1"/>
  <c r="Q50" i="38" s="1"/>
  <c r="Q51" i="38" s="1"/>
  <c r="Q52" i="38" s="1"/>
  <c r="Q53" i="38" s="1"/>
  <c r="Q54" i="38" s="1"/>
  <c r="Q55" i="38" s="1"/>
  <c r="Q56" i="38" s="1"/>
  <c r="Q57" i="38" s="1"/>
  <c r="Q58" i="38" s="1"/>
  <c r="Q59" i="38" s="1"/>
  <c r="Q60" i="38" s="1"/>
  <c r="Q61" i="38" s="1"/>
  <c r="Q62" i="38" s="1"/>
  <c r="Q63" i="38" s="1"/>
  <c r="Q64" i="38" s="1"/>
  <c r="Q65" i="38" s="1"/>
  <c r="Q66" i="38" s="1"/>
  <c r="Q67" i="38" s="1"/>
  <c r="Q68" i="38" s="1"/>
  <c r="Q69" i="38" s="1"/>
  <c r="Q70" i="38" s="1"/>
  <c r="Q71" i="38" s="1"/>
  <c r="Q72" i="38" s="1"/>
  <c r="Q73" i="38" s="1"/>
  <c r="Q74" i="38" s="1"/>
  <c r="Q75" i="38" s="1"/>
  <c r="Q76" i="38" s="1"/>
  <c r="Q77" i="38" s="1"/>
  <c r="Q78" i="38" s="1"/>
  <c r="Q79" i="38" s="1"/>
  <c r="Q80" i="38" s="1"/>
  <c r="Q81" i="38" s="1"/>
  <c r="Q82" i="38" s="1"/>
  <c r="Q83" i="38" s="1"/>
  <c r="Q84" i="38" s="1"/>
  <c r="Q85" i="38" s="1"/>
  <c r="Q86" i="38" s="1"/>
  <c r="Q87" i="38" s="1"/>
  <c r="Q88" i="38" s="1"/>
  <c r="Q89" i="38" s="1"/>
  <c r="A25" i="33"/>
  <c r="A24" i="33"/>
  <c r="M21" i="33"/>
  <c r="L21" i="33"/>
  <c r="K21" i="33"/>
  <c r="J21" i="33"/>
  <c r="I21" i="33"/>
  <c r="H21" i="33"/>
  <c r="G21" i="33"/>
  <c r="F21" i="33"/>
  <c r="E21" i="33"/>
  <c r="D21" i="33"/>
  <c r="A21" i="33"/>
  <c r="A22" i="33" s="1"/>
  <c r="M20" i="33"/>
  <c r="L20" i="33"/>
  <c r="K20" i="33"/>
  <c r="J20" i="33"/>
  <c r="I20" i="33"/>
  <c r="H20" i="33"/>
  <c r="G20" i="33"/>
  <c r="F20" i="33"/>
  <c r="E20" i="33"/>
  <c r="D20" i="33"/>
  <c r="A19" i="33"/>
  <c r="A18" i="33"/>
  <c r="A15" i="33"/>
  <c r="A16" i="33" s="1"/>
  <c r="N26" i="45"/>
  <c r="M26" i="45"/>
  <c r="L26" i="45"/>
  <c r="K26" i="45"/>
  <c r="J26" i="45"/>
  <c r="I26" i="45"/>
  <c r="H26" i="45"/>
  <c r="G26" i="45"/>
  <c r="F26" i="45"/>
  <c r="E26" i="45"/>
  <c r="A25" i="45"/>
  <c r="A26" i="45" s="1"/>
  <c r="N23" i="45"/>
  <c r="M23" i="45"/>
  <c r="L23" i="45"/>
  <c r="K23" i="45"/>
  <c r="J23" i="45"/>
  <c r="I23" i="45"/>
  <c r="H23" i="45"/>
  <c r="G23" i="45"/>
  <c r="F23" i="45"/>
  <c r="E23" i="45"/>
  <c r="A22" i="45"/>
  <c r="A23" i="45" s="1"/>
  <c r="N20" i="45"/>
  <c r="M20" i="45"/>
  <c r="L20" i="45"/>
  <c r="K20" i="45"/>
  <c r="J20" i="45"/>
  <c r="I20" i="45"/>
  <c r="H20" i="45"/>
  <c r="G20" i="45"/>
  <c r="F20" i="45"/>
  <c r="E20" i="45"/>
  <c r="A19" i="45"/>
  <c r="A20" i="45" s="1"/>
  <c r="A10" i="45"/>
  <c r="A11" i="45" s="1"/>
  <c r="A25" i="34"/>
  <c r="A26" i="34" s="1"/>
  <c r="A22" i="34"/>
  <c r="A23" i="34" s="1"/>
  <c r="A19" i="34"/>
  <c r="A20" i="34" s="1"/>
  <c r="A12" i="34"/>
  <c r="A35" i="32"/>
  <c r="A36" i="32" s="1"/>
  <c r="A32" i="32"/>
  <c r="A33" i="32" s="1"/>
  <c r="A29" i="32"/>
  <c r="A30" i="32" s="1"/>
  <c r="A14" i="32"/>
  <c r="A31" i="35"/>
  <c r="A32" i="35" s="1"/>
  <c r="A28" i="35"/>
  <c r="A29" i="35" s="1"/>
  <c r="A25" i="35"/>
  <c r="A26" i="35" s="1"/>
  <c r="A12" i="35"/>
  <c r="A14" i="35" s="1"/>
  <c r="A15" i="35" s="1"/>
  <c r="A16" i="35" s="1"/>
  <c r="A19" i="35" s="1"/>
  <c r="A20" i="35" s="1"/>
  <c r="A21" i="35" s="1"/>
  <c r="A23" i="35" l="1"/>
  <c r="A22" i="35"/>
  <c r="A28" i="33" l="1"/>
  <c r="A29" i="45"/>
  <c r="A29" i="34"/>
  <c r="A39" i="32"/>
  <c r="A43" i="1"/>
  <c r="D43" i="35"/>
  <c r="D43" i="32"/>
  <c r="D23" i="32"/>
  <c r="M30" i="35" l="1"/>
  <c r="L30" i="35"/>
  <c r="K30" i="35"/>
  <c r="J30" i="35"/>
  <c r="I30" i="35"/>
  <c r="H30" i="35"/>
  <c r="G30" i="35"/>
  <c r="F30" i="35"/>
  <c r="E30" i="35"/>
  <c r="D30" i="35"/>
  <c r="M27" i="35"/>
  <c r="L27" i="35"/>
  <c r="K27" i="35"/>
  <c r="J27" i="35"/>
  <c r="I27" i="35"/>
  <c r="H27" i="35"/>
  <c r="G27" i="35"/>
  <c r="F27" i="35"/>
  <c r="E27" i="35"/>
  <c r="D27" i="35"/>
  <c r="M34" i="32" l="1"/>
  <c r="L34" i="32"/>
  <c r="K34" i="32"/>
  <c r="J34" i="32"/>
  <c r="I34" i="32"/>
  <c r="H34" i="32"/>
  <c r="G34" i="32"/>
  <c r="M31" i="32"/>
  <c r="L31" i="32"/>
  <c r="K31" i="32"/>
  <c r="J31" i="32"/>
  <c r="I31" i="32"/>
  <c r="H31" i="32"/>
  <c r="G31" i="32"/>
  <c r="M28" i="32"/>
  <c r="L28" i="32"/>
  <c r="K28" i="32"/>
  <c r="J28" i="32"/>
  <c r="I28" i="32"/>
  <c r="H28" i="32"/>
  <c r="G28" i="32"/>
  <c r="D18" i="33" l="1"/>
  <c r="D17" i="33"/>
  <c r="AG43" i="35" l="1"/>
  <c r="AF43" i="35"/>
  <c r="AE43" i="35"/>
  <c r="AD43" i="35"/>
  <c r="AC43" i="35"/>
  <c r="AB43" i="35"/>
  <c r="AA43" i="35"/>
  <c r="Z43" i="35"/>
  <c r="Y43" i="35"/>
  <c r="X43" i="35"/>
  <c r="W43" i="35"/>
  <c r="V43" i="35"/>
  <c r="U43" i="35"/>
  <c r="T43" i="35"/>
  <c r="S43" i="35"/>
  <c r="R43" i="35"/>
  <c r="Q43" i="35"/>
  <c r="P43" i="35"/>
  <c r="O43" i="35"/>
  <c r="N43" i="35"/>
  <c r="M43" i="35"/>
  <c r="L43" i="35"/>
  <c r="K43" i="35"/>
  <c r="J43" i="35"/>
  <c r="I43" i="35"/>
  <c r="H43" i="35"/>
  <c r="G43" i="35"/>
  <c r="F43" i="35"/>
  <c r="E43" i="35"/>
  <c r="A11" i="36" l="1"/>
  <c r="A12" i="36" s="1"/>
  <c r="A13" i="36" s="1"/>
  <c r="A14" i="36" s="1"/>
  <c r="A15" i="36" s="1"/>
  <c r="A16" i="36" s="1"/>
  <c r="A17" i="36" s="1"/>
  <c r="N25" i="45" l="1"/>
  <c r="M25" i="45"/>
  <c r="L25" i="45"/>
  <c r="K25" i="45"/>
  <c r="J25" i="45"/>
  <c r="I25" i="45"/>
  <c r="H25" i="45"/>
  <c r="G25" i="45"/>
  <c r="F25" i="45"/>
  <c r="E25" i="45"/>
  <c r="N22" i="45"/>
  <c r="M22" i="45"/>
  <c r="L22" i="45"/>
  <c r="K22" i="45"/>
  <c r="J22" i="45"/>
  <c r="I22" i="45"/>
  <c r="H22" i="45"/>
  <c r="G22" i="45"/>
  <c r="F22" i="45"/>
  <c r="E22" i="45"/>
  <c r="N19" i="45"/>
  <c r="M19" i="45"/>
  <c r="L19" i="45"/>
  <c r="K19" i="45"/>
  <c r="J19" i="45"/>
  <c r="I19" i="45"/>
  <c r="H19" i="45"/>
  <c r="G19" i="45"/>
  <c r="F19" i="45"/>
  <c r="B98" i="40"/>
  <c r="D20" i="36"/>
  <c r="D22" i="36" s="1"/>
  <c r="M35" i="36"/>
  <c r="M37" i="36" s="1"/>
  <c r="L35" i="36"/>
  <c r="L37" i="36" s="1"/>
  <c r="K35" i="36"/>
  <c r="K36" i="36" s="1"/>
  <c r="J35" i="36"/>
  <c r="J36" i="36" s="1"/>
  <c r="I35" i="36"/>
  <c r="I36" i="36" s="1"/>
  <c r="H35" i="36"/>
  <c r="H36" i="36" s="1"/>
  <c r="G35" i="36"/>
  <c r="G36" i="36" s="1"/>
  <c r="F35" i="36"/>
  <c r="F37" i="36" s="1"/>
  <c r="E35" i="36"/>
  <c r="E37" i="36" s="1"/>
  <c r="M32" i="36"/>
  <c r="M34" i="36" s="1"/>
  <c r="L32" i="36"/>
  <c r="L34" i="36" s="1"/>
  <c r="K32" i="36"/>
  <c r="K34" i="36" s="1"/>
  <c r="J32" i="36"/>
  <c r="J33" i="36" s="1"/>
  <c r="I32" i="36"/>
  <c r="I33" i="36" s="1"/>
  <c r="H32" i="36"/>
  <c r="H33" i="36" s="1"/>
  <c r="G32" i="36"/>
  <c r="G34" i="36" s="1"/>
  <c r="F32" i="36"/>
  <c r="F34" i="36" s="1"/>
  <c r="E32" i="36"/>
  <c r="E34" i="36" s="1"/>
  <c r="M29" i="36"/>
  <c r="M30" i="36" s="1"/>
  <c r="L29" i="36"/>
  <c r="L31" i="36" s="1"/>
  <c r="K29" i="36"/>
  <c r="K31" i="36" s="1"/>
  <c r="J29" i="36"/>
  <c r="J31" i="36" s="1"/>
  <c r="I29" i="36"/>
  <c r="I30" i="36" s="1"/>
  <c r="H29" i="36"/>
  <c r="H30" i="36" s="1"/>
  <c r="G29" i="36"/>
  <c r="G30" i="36" s="1"/>
  <c r="F29" i="36"/>
  <c r="F30" i="36" s="1"/>
  <c r="E29" i="36"/>
  <c r="E30" i="36" s="1"/>
  <c r="D35" i="36"/>
  <c r="D37" i="36" s="1"/>
  <c r="D32" i="36"/>
  <c r="D34" i="36" s="1"/>
  <c r="D29" i="36"/>
  <c r="D31" i="36" s="1"/>
  <c r="D39" i="36" s="1"/>
  <c r="F26" i="36"/>
  <c r="E26" i="36"/>
  <c r="D26" i="36"/>
  <c r="F23" i="36"/>
  <c r="E23" i="36"/>
  <c r="D23" i="36"/>
  <c r="E19" i="45" l="1"/>
  <c r="M31" i="36"/>
  <c r="M36" i="36"/>
  <c r="K33" i="36"/>
  <c r="I34" i="36"/>
  <c r="L36" i="36"/>
  <c r="M33" i="36"/>
  <c r="L33" i="36"/>
  <c r="J30" i="36"/>
  <c r="K30" i="36"/>
  <c r="G37" i="36"/>
  <c r="L30" i="36"/>
  <c r="H37" i="36"/>
  <c r="E33" i="36"/>
  <c r="J37" i="36"/>
  <c r="H31" i="36"/>
  <c r="G33" i="36"/>
  <c r="E31" i="36"/>
  <c r="F31" i="36"/>
  <c r="F33" i="36"/>
  <c r="E36" i="36"/>
  <c r="F36" i="36"/>
  <c r="G31" i="36"/>
  <c r="I37" i="36"/>
  <c r="I31" i="36"/>
  <c r="J34" i="36"/>
  <c r="K37" i="36"/>
  <c r="H34" i="36"/>
  <c r="P97" i="40" l="1"/>
  <c r="M20" i="36"/>
  <c r="L20" i="36"/>
  <c r="K20" i="36"/>
  <c r="J20" i="36"/>
  <c r="I20" i="36"/>
  <c r="H20" i="36"/>
  <c r="G20" i="36"/>
  <c r="F20" i="36"/>
  <c r="E20" i="36"/>
  <c r="M43" i="32"/>
  <c r="L43" i="32"/>
  <c r="K43" i="32"/>
  <c r="J43" i="32"/>
  <c r="I43" i="32"/>
  <c r="H43" i="32"/>
  <c r="G43" i="32"/>
  <c r="F43" i="32"/>
  <c r="E43" i="32"/>
  <c r="AG42" i="35"/>
  <c r="AF42" i="35"/>
  <c r="AE42" i="35"/>
  <c r="AD42" i="35"/>
  <c r="AC42" i="35"/>
  <c r="AB42" i="35"/>
  <c r="AA42" i="35"/>
  <c r="Z42" i="35"/>
  <c r="Y42" i="35"/>
  <c r="X42" i="35"/>
  <c r="W42" i="35"/>
  <c r="V42" i="35"/>
  <c r="U42" i="35"/>
  <c r="T42" i="35"/>
  <c r="S42" i="35"/>
  <c r="R42" i="35"/>
  <c r="Q42" i="35"/>
  <c r="P42" i="35"/>
  <c r="O42" i="35"/>
  <c r="N42" i="35"/>
  <c r="M42" i="35"/>
  <c r="L42" i="35"/>
  <c r="K42" i="35"/>
  <c r="J42" i="35"/>
  <c r="I42" i="35"/>
  <c r="H42" i="35"/>
  <c r="G42" i="35"/>
  <c r="F42" i="35"/>
  <c r="E42" i="35"/>
  <c r="D42" i="35"/>
  <c r="M42" i="32"/>
  <c r="L42" i="32"/>
  <c r="K42" i="32"/>
  <c r="J42" i="32"/>
  <c r="I42" i="32"/>
  <c r="H42" i="32"/>
  <c r="G42" i="32"/>
  <c r="F42" i="32"/>
  <c r="E42" i="32"/>
  <c r="D42" i="32"/>
  <c r="AG41" i="35"/>
  <c r="AF41" i="35"/>
  <c r="AE41" i="35"/>
  <c r="AD41" i="35"/>
  <c r="AC41" i="35"/>
  <c r="AB41" i="35"/>
  <c r="AA41" i="35"/>
  <c r="Z41" i="35"/>
  <c r="Y41" i="35"/>
  <c r="X41" i="35"/>
  <c r="W41" i="35"/>
  <c r="V41" i="35"/>
  <c r="U41" i="35"/>
  <c r="T41" i="35"/>
  <c r="S41" i="35"/>
  <c r="R41" i="35"/>
  <c r="Q41" i="35"/>
  <c r="P41" i="35"/>
  <c r="O41" i="35"/>
  <c r="N41" i="35"/>
  <c r="M41" i="35"/>
  <c r="L41" i="35"/>
  <c r="K41" i="35"/>
  <c r="J41" i="35"/>
  <c r="I41" i="35"/>
  <c r="H41" i="35"/>
  <c r="G41" i="35"/>
  <c r="F41" i="35"/>
  <c r="F27" i="25" l="1"/>
  <c r="D20" i="34" l="1"/>
  <c r="AG30" i="35"/>
  <c r="AF30" i="35"/>
  <c r="AE30" i="35"/>
  <c r="AD30" i="35"/>
  <c r="AC30" i="35"/>
  <c r="AB30" i="35"/>
  <c r="AA30" i="35"/>
  <c r="Z30" i="35"/>
  <c r="Y30" i="35"/>
  <c r="X30" i="35"/>
  <c r="W30" i="35"/>
  <c r="V30" i="35"/>
  <c r="U30" i="35"/>
  <c r="T30" i="35"/>
  <c r="S30" i="35"/>
  <c r="R30" i="35"/>
  <c r="Q30" i="35"/>
  <c r="P30" i="35"/>
  <c r="O30" i="35"/>
  <c r="N30" i="35"/>
  <c r="AG27" i="35"/>
  <c r="AF27" i="35"/>
  <c r="AE27" i="35"/>
  <c r="AD27" i="35"/>
  <c r="AC27" i="35"/>
  <c r="AB27" i="35"/>
  <c r="AA27" i="35"/>
  <c r="Z27" i="35"/>
  <c r="Y27" i="35"/>
  <c r="X27" i="35"/>
  <c r="W27" i="35"/>
  <c r="V27" i="35"/>
  <c r="U27" i="35"/>
  <c r="T27" i="35"/>
  <c r="S27" i="35"/>
  <c r="R27" i="35"/>
  <c r="Q27" i="35"/>
  <c r="P27" i="35"/>
  <c r="O27" i="35"/>
  <c r="N27" i="35"/>
  <c r="AG24" i="35"/>
  <c r="AF24" i="35"/>
  <c r="AE24" i="35"/>
  <c r="AD24" i="35"/>
  <c r="AC24" i="35"/>
  <c r="AB24" i="35"/>
  <c r="AA24" i="35"/>
  <c r="Z24" i="35"/>
  <c r="Y24" i="35"/>
  <c r="X24" i="35"/>
  <c r="W24" i="35"/>
  <c r="V24" i="35"/>
  <c r="U24" i="35"/>
  <c r="T24" i="35"/>
  <c r="S24" i="35"/>
  <c r="R24" i="35"/>
  <c r="Q24" i="35"/>
  <c r="P24" i="35"/>
  <c r="O24" i="35"/>
  <c r="N24" i="35"/>
  <c r="M24" i="35"/>
  <c r="L24" i="35"/>
  <c r="K24" i="35"/>
  <c r="J24" i="35"/>
  <c r="I24" i="35"/>
  <c r="H24" i="35"/>
  <c r="G24" i="35"/>
  <c r="F24" i="35"/>
  <c r="E24" i="35"/>
  <c r="A93" i="40" l="1"/>
  <c r="O89" i="40"/>
  <c r="O97" i="40" s="1"/>
  <c r="N89" i="40"/>
  <c r="N97" i="40" s="1"/>
  <c r="M89" i="40"/>
  <c r="M97" i="40" s="1"/>
  <c r="L89" i="40"/>
  <c r="L97" i="40" s="1"/>
  <c r="K89" i="40"/>
  <c r="K97" i="40" s="1"/>
  <c r="J89" i="40"/>
  <c r="J97" i="40" s="1"/>
  <c r="I89" i="40"/>
  <c r="I97" i="40" s="1"/>
  <c r="H89" i="40"/>
  <c r="H97" i="40" s="1"/>
  <c r="G89" i="40"/>
  <c r="G97" i="40" s="1"/>
  <c r="G91" i="40" l="1"/>
  <c r="A45" i="1"/>
  <c r="A44" i="1"/>
  <c r="A42" i="1"/>
  <c r="A38" i="1"/>
  <c r="A35" i="1"/>
  <c r="A37" i="1" l="1"/>
  <c r="D28" i="36"/>
  <c r="D43" i="36" s="1"/>
  <c r="E28" i="36"/>
  <c r="E43" i="36" s="1"/>
  <c r="F28" i="36"/>
  <c r="F43" i="36" s="1"/>
  <c r="G26" i="36"/>
  <c r="G28" i="36" s="1"/>
  <c r="G43" i="36" s="1"/>
  <c r="H26" i="36"/>
  <c r="H28" i="36" s="1"/>
  <c r="H43" i="36" s="1"/>
  <c r="I26" i="36"/>
  <c r="I27" i="36" s="1"/>
  <c r="I42" i="36" s="1"/>
  <c r="J26" i="36"/>
  <c r="J28" i="36" s="1"/>
  <c r="J43" i="36" s="1"/>
  <c r="K26" i="36"/>
  <c r="K27" i="36" s="1"/>
  <c r="K42" i="36" s="1"/>
  <c r="L26" i="36"/>
  <c r="L28" i="36" s="1"/>
  <c r="L43" i="36" s="1"/>
  <c r="M26" i="36"/>
  <c r="M28" i="36" s="1"/>
  <c r="M43" i="36" s="1"/>
  <c r="F89" i="40"/>
  <c r="A94" i="38"/>
  <c r="A46" i="36"/>
  <c r="A97" i="25"/>
  <c r="M23" i="36"/>
  <c r="L23" i="36"/>
  <c r="K23" i="36"/>
  <c r="J23" i="36"/>
  <c r="I23" i="36"/>
  <c r="H23" i="36"/>
  <c r="M22" i="36"/>
  <c r="M39" i="36" s="1"/>
  <c r="L21" i="36"/>
  <c r="L38" i="36" s="1"/>
  <c r="J27" i="36" l="1"/>
  <c r="J42" i="36" s="1"/>
  <c r="L24" i="36"/>
  <c r="L40" i="36" s="1"/>
  <c r="M24" i="36"/>
  <c r="M40" i="36" s="1"/>
  <c r="H25" i="36"/>
  <c r="H41" i="36" s="1"/>
  <c r="J25" i="36"/>
  <c r="J41" i="36" s="1"/>
  <c r="K25" i="36"/>
  <c r="K41" i="36" s="1"/>
  <c r="E27" i="36"/>
  <c r="E42" i="36" s="1"/>
  <c r="K28" i="36"/>
  <c r="K43" i="36" s="1"/>
  <c r="D27" i="36"/>
  <c r="M27" i="36"/>
  <c r="M42" i="36" s="1"/>
  <c r="L27" i="36"/>
  <c r="L42" i="36" s="1"/>
  <c r="H27" i="36"/>
  <c r="H42" i="36" s="1"/>
  <c r="I28" i="36"/>
  <c r="I43" i="36" s="1"/>
  <c r="G27" i="36"/>
  <c r="G42" i="36" s="1"/>
  <c r="F27" i="36"/>
  <c r="F42" i="36" s="1"/>
  <c r="M25" i="36"/>
  <c r="M41" i="36" s="1"/>
  <c r="L22" i="36"/>
  <c r="L39" i="36" s="1"/>
  <c r="L25" i="36"/>
  <c r="L41" i="36" s="1"/>
  <c r="J24" i="36"/>
  <c r="J40" i="36" s="1"/>
  <c r="J22" i="36"/>
  <c r="J39" i="36" s="1"/>
  <c r="J21" i="36"/>
  <c r="J38" i="36" s="1"/>
  <c r="K22" i="36"/>
  <c r="K39" i="36" s="1"/>
  <c r="K21" i="36"/>
  <c r="K38" i="36" s="1"/>
  <c r="I25" i="36"/>
  <c r="I41" i="36" s="1"/>
  <c r="I24" i="36"/>
  <c r="I40" i="36" s="1"/>
  <c r="H24" i="36"/>
  <c r="H40" i="36" s="1"/>
  <c r="M21" i="36"/>
  <c r="M38" i="36" s="1"/>
  <c r="K24" i="36"/>
  <c r="K40" i="36" s="1"/>
  <c r="D27" i="32" l="1" a="1"/>
  <c r="D27" i="32" s="1"/>
  <c r="D28" i="32" s="1"/>
  <c r="M23" i="32"/>
  <c r="M26" i="32" s="1"/>
  <c r="K23" i="32"/>
  <c r="K26" i="32" s="1"/>
  <c r="J23" i="32"/>
  <c r="J26" i="32" s="1"/>
  <c r="I23" i="32"/>
  <c r="I26" i="32" s="1"/>
  <c r="H23" i="32"/>
  <c r="H26" i="32" s="1"/>
  <c r="G23" i="32"/>
  <c r="G26" i="32" s="1"/>
  <c r="F23" i="32"/>
  <c r="F26" i="32" s="1"/>
  <c r="E23" i="32"/>
  <c r="E26" i="32" s="1"/>
  <c r="D26" i="32"/>
  <c r="L23" i="32"/>
  <c r="L26" i="32" s="1"/>
  <c r="D24" i="35"/>
  <c r="A35" i="2"/>
  <c r="G35" i="32" l="1"/>
  <c r="G32" i="32"/>
  <c r="G29" i="32"/>
  <c r="H29" i="32"/>
  <c r="H32" i="32"/>
  <c r="H35" i="32"/>
  <c r="I32" i="32"/>
  <c r="I35" i="32"/>
  <c r="I29" i="32"/>
  <c r="J35" i="32"/>
  <c r="J29" i="32"/>
  <c r="J32" i="32"/>
  <c r="L32" i="32"/>
  <c r="L29" i="32"/>
  <c r="L35" i="32"/>
  <c r="K32" i="32"/>
  <c r="K35" i="32"/>
  <c r="K29" i="32"/>
  <c r="M29" i="32"/>
  <c r="M35" i="32"/>
  <c r="M32" i="32"/>
  <c r="D31" i="32"/>
  <c r="D32" i="32" s="1"/>
  <c r="I30" i="32"/>
  <c r="I33" i="32"/>
  <c r="I36" i="32"/>
  <c r="G33" i="32"/>
  <c r="G30" i="32"/>
  <c r="G36" i="32"/>
  <c r="J30" i="32"/>
  <c r="J33" i="32"/>
  <c r="J36" i="32"/>
  <c r="L36" i="32"/>
  <c r="L33" i="32"/>
  <c r="L30" i="32"/>
  <c r="K36" i="32"/>
  <c r="K30" i="32"/>
  <c r="K33" i="32"/>
  <c r="M30" i="32"/>
  <c r="M33" i="32"/>
  <c r="M36" i="32"/>
  <c r="H30" i="32"/>
  <c r="H33" i="32"/>
  <c r="H36" i="32"/>
  <c r="D34" i="32"/>
  <c r="D33" i="32" l="1"/>
  <c r="D36" i="32"/>
  <c r="D35" i="32"/>
  <c r="D30" i="32"/>
  <c r="D29" i="32"/>
  <c r="D26" i="34"/>
  <c r="D23" i="34"/>
  <c r="D41" i="35" l="1"/>
  <c r="E41" i="35" l="1"/>
  <c r="D40" i="35"/>
  <c r="G36" i="39"/>
  <c r="G37" i="39" s="1"/>
  <c r="E40" i="35" l="1"/>
  <c r="F40" i="35" l="1"/>
  <c r="AE20" i="35"/>
  <c r="AE23" i="35" s="1"/>
  <c r="AD20" i="35"/>
  <c r="AD23" i="35" s="1"/>
  <c r="AC20" i="35"/>
  <c r="AC23" i="35" s="1"/>
  <c r="Z20" i="35"/>
  <c r="Z23" i="35" s="1"/>
  <c r="U20" i="35"/>
  <c r="U23" i="35" s="1"/>
  <c r="T20" i="35"/>
  <c r="T23" i="35" s="1"/>
  <c r="S20" i="35"/>
  <c r="S23" i="35" s="1"/>
  <c r="Q20" i="35"/>
  <c r="Q23" i="35" s="1"/>
  <c r="P20" i="35"/>
  <c r="P23" i="35" s="1"/>
  <c r="O20" i="35"/>
  <c r="O23" i="35" s="1"/>
  <c r="K20" i="35"/>
  <c r="K23" i="35" s="1"/>
  <c r="J20" i="35"/>
  <c r="J23" i="35" s="1"/>
  <c r="I20" i="35"/>
  <c r="I23" i="35" s="1"/>
  <c r="H20" i="35"/>
  <c r="H23" i="35" s="1"/>
  <c r="G20" i="35"/>
  <c r="G23" i="35" s="1"/>
  <c r="F20" i="35"/>
  <c r="F23" i="35" s="1"/>
  <c r="D20" i="35"/>
  <c r="D23" i="35" s="1"/>
  <c r="M18" i="33"/>
  <c r="M24" i="33" s="1"/>
  <c r="L18" i="33"/>
  <c r="L24" i="33" s="1"/>
  <c r="K18" i="33"/>
  <c r="K24" i="33" s="1"/>
  <c r="J18" i="33"/>
  <c r="J24" i="33" s="1"/>
  <c r="I18" i="33"/>
  <c r="I24" i="33" s="1"/>
  <c r="H18" i="33"/>
  <c r="G18" i="33"/>
  <c r="G24" i="33" s="1"/>
  <c r="F18" i="33"/>
  <c r="F24" i="33" s="1"/>
  <c r="E18" i="33"/>
  <c r="E24" i="33" s="1"/>
  <c r="D24" i="33"/>
  <c r="M17" i="33"/>
  <c r="L17" i="33"/>
  <c r="K17" i="33"/>
  <c r="J17" i="33"/>
  <c r="I17" i="33"/>
  <c r="H17" i="33"/>
  <c r="G17" i="33"/>
  <c r="F17" i="33"/>
  <c r="E17" i="33"/>
  <c r="M27" i="32" a="1"/>
  <c r="M27" i="32" s="1"/>
  <c r="L27" i="32" a="1"/>
  <c r="L27" i="32" s="1"/>
  <c r="K27" i="32" a="1"/>
  <c r="K27" i="32" s="1"/>
  <c r="J27" i="32" a="1"/>
  <c r="J27" i="32" s="1"/>
  <c r="I27" i="32" a="1"/>
  <c r="I27" i="32" s="1"/>
  <c r="H27" i="32" a="1"/>
  <c r="H27" i="32" s="1"/>
  <c r="G27" i="32" a="1"/>
  <c r="G27" i="32" s="1"/>
  <c r="F27" i="32" a="1"/>
  <c r="F27" i="32" s="1"/>
  <c r="E27" i="32" a="1"/>
  <c r="E27" i="32" s="1"/>
  <c r="D33" i="36"/>
  <c r="D36" i="36"/>
  <c r="D42" i="36" s="1"/>
  <c r="D30" i="36"/>
  <c r="G23" i="36"/>
  <c r="F24" i="36"/>
  <c r="F40" i="36" s="1"/>
  <c r="E24" i="36"/>
  <c r="E40" i="36" s="1"/>
  <c r="D24" i="36"/>
  <c r="D40" i="36" l="1"/>
  <c r="G40" i="35"/>
  <c r="E34" i="32"/>
  <c r="E35" i="32" s="1"/>
  <c r="E31" i="32"/>
  <c r="E32" i="32" s="1"/>
  <c r="E28" i="32"/>
  <c r="E29" i="32" s="1"/>
  <c r="F31" i="32"/>
  <c r="F32" i="32" s="1"/>
  <c r="F34" i="32"/>
  <c r="F35" i="32" s="1"/>
  <c r="F28" i="32"/>
  <c r="F29" i="32" s="1"/>
  <c r="D22" i="33"/>
  <c r="D19" i="33"/>
  <c r="H28" i="35"/>
  <c r="H31" i="35"/>
  <c r="H26" i="35"/>
  <c r="H25" i="35"/>
  <c r="H32" i="35"/>
  <c r="H29" i="35"/>
  <c r="T25" i="35"/>
  <c r="T26" i="35"/>
  <c r="T29" i="35"/>
  <c r="T28" i="35"/>
  <c r="T31" i="35"/>
  <c r="T32" i="35"/>
  <c r="I26" i="35"/>
  <c r="I31" i="35"/>
  <c r="I29" i="35"/>
  <c r="I32" i="35"/>
  <c r="I28" i="35"/>
  <c r="I25" i="35"/>
  <c r="U26" i="35"/>
  <c r="U28" i="35"/>
  <c r="U31" i="35"/>
  <c r="U25" i="35"/>
  <c r="U32" i="35"/>
  <c r="U29" i="35"/>
  <c r="Q29" i="35"/>
  <c r="Q31" i="35"/>
  <c r="Q26" i="35"/>
  <c r="Q28" i="35"/>
  <c r="Q32" i="35"/>
  <c r="Q25" i="35"/>
  <c r="J29" i="35"/>
  <c r="J26" i="35"/>
  <c r="J31" i="35"/>
  <c r="J25" i="35"/>
  <c r="J28" i="35"/>
  <c r="J32" i="35"/>
  <c r="Z26" i="35"/>
  <c r="Z29" i="35"/>
  <c r="Z31" i="35"/>
  <c r="Z28" i="35"/>
  <c r="Z25" i="35"/>
  <c r="Z32" i="35"/>
  <c r="S32" i="35"/>
  <c r="S26" i="35"/>
  <c r="S29" i="35"/>
  <c r="S28" i="35"/>
  <c r="S31" i="35"/>
  <c r="S25" i="35"/>
  <c r="K32" i="35"/>
  <c r="K25" i="35"/>
  <c r="K28" i="35"/>
  <c r="K29" i="35"/>
  <c r="K31" i="35"/>
  <c r="K26" i="35"/>
  <c r="AC25" i="35"/>
  <c r="AC26" i="35"/>
  <c r="AC29" i="35"/>
  <c r="AC28" i="35"/>
  <c r="AC31" i="35"/>
  <c r="AC32" i="35"/>
  <c r="O25" i="35"/>
  <c r="O31" i="35"/>
  <c r="O29" i="35"/>
  <c r="O28" i="35"/>
  <c r="O32" i="35"/>
  <c r="O26" i="35"/>
  <c r="AD25" i="35"/>
  <c r="AD29" i="35"/>
  <c r="AD26" i="35"/>
  <c r="AD32" i="35"/>
  <c r="AD28" i="35"/>
  <c r="AD31" i="35"/>
  <c r="D31" i="35"/>
  <c r="D26" i="35"/>
  <c r="D29" i="35"/>
  <c r="D28" i="35"/>
  <c r="D32" i="35"/>
  <c r="D25" i="35"/>
  <c r="P32" i="35"/>
  <c r="P28" i="35"/>
  <c r="P29" i="35"/>
  <c r="P31" i="35"/>
  <c r="P26" i="35"/>
  <c r="P25" i="35"/>
  <c r="AE25" i="35"/>
  <c r="AE29" i="35"/>
  <c r="AE31" i="35"/>
  <c r="AE28" i="35"/>
  <c r="AE32" i="35"/>
  <c r="AE26" i="35"/>
  <c r="G29" i="35"/>
  <c r="G28" i="35"/>
  <c r="G25" i="35"/>
  <c r="G26" i="35"/>
  <c r="G31" i="35"/>
  <c r="G32" i="35"/>
  <c r="F25" i="35"/>
  <c r="F28" i="35"/>
  <c r="F31" i="35"/>
  <c r="F29" i="35"/>
  <c r="F32" i="35"/>
  <c r="F26" i="35"/>
  <c r="N20" i="35"/>
  <c r="N23" i="35" s="1"/>
  <c r="V20" i="35"/>
  <c r="V23" i="35" s="1"/>
  <c r="W20" i="35"/>
  <c r="W23" i="35" s="1"/>
  <c r="X20" i="35"/>
  <c r="X23" i="35" s="1"/>
  <c r="AF20" i="35"/>
  <c r="AF23" i="35" s="1"/>
  <c r="Y20" i="35"/>
  <c r="Y23" i="35" s="1"/>
  <c r="AG20" i="35"/>
  <c r="AG23" i="35" s="1"/>
  <c r="R20" i="35"/>
  <c r="R23" i="35" s="1"/>
  <c r="AA20" i="35"/>
  <c r="AA23" i="35" s="1"/>
  <c r="L20" i="35"/>
  <c r="L23" i="35" s="1"/>
  <c r="AB20" i="35"/>
  <c r="AB23" i="35" s="1"/>
  <c r="E20" i="35"/>
  <c r="E23" i="35" s="1"/>
  <c r="M20" i="35"/>
  <c r="M23" i="35" s="1"/>
  <c r="D21" i="36"/>
  <c r="D38" i="36" s="1"/>
  <c r="E19" i="33"/>
  <c r="H19" i="33"/>
  <c r="I19" i="33"/>
  <c r="E22" i="33"/>
  <c r="G19" i="33"/>
  <c r="M22" i="33"/>
  <c r="M23" i="33"/>
  <c r="M25" i="33" s="1"/>
  <c r="G22" i="33"/>
  <c r="G23" i="33"/>
  <c r="G25" i="33" s="1"/>
  <c r="I22" i="33"/>
  <c r="I23" i="33"/>
  <c r="I25" i="33" s="1"/>
  <c r="K22" i="33"/>
  <c r="K23" i="33"/>
  <c r="K25" i="33" s="1"/>
  <c r="K19" i="33"/>
  <c r="F19" i="33"/>
  <c r="M19" i="33"/>
  <c r="H24" i="33"/>
  <c r="L22" i="33"/>
  <c r="L23" i="33"/>
  <c r="L25" i="33" s="1"/>
  <c r="J22" i="33"/>
  <c r="H23" i="33"/>
  <c r="J19" i="33"/>
  <c r="L19" i="33"/>
  <c r="J23" i="33"/>
  <c r="J25" i="33" s="1"/>
  <c r="G24" i="36"/>
  <c r="G40" i="36" s="1"/>
  <c r="G25" i="36"/>
  <c r="G41" i="36" s="1"/>
  <c r="D25" i="36"/>
  <c r="D41" i="36" s="1"/>
  <c r="E25" i="36"/>
  <c r="E41" i="36" s="1"/>
  <c r="F25" i="36"/>
  <c r="F41" i="36" s="1"/>
  <c r="H40" i="35" l="1"/>
  <c r="F30" i="32"/>
  <c r="F36" i="32"/>
  <c r="F33" i="32"/>
  <c r="E30" i="32"/>
  <c r="E33" i="32"/>
  <c r="E36" i="32"/>
  <c r="D23" i="33"/>
  <c r="D25" i="33" s="1"/>
  <c r="R26" i="35"/>
  <c r="R29" i="35"/>
  <c r="R32" i="35"/>
  <c r="R31" i="35"/>
  <c r="R25" i="35"/>
  <c r="R28" i="35"/>
  <c r="V28" i="35"/>
  <c r="V32" i="35"/>
  <c r="V26" i="35"/>
  <c r="V31" i="35"/>
  <c r="V25" i="35"/>
  <c r="V29" i="35"/>
  <c r="AG31" i="35"/>
  <c r="AG29" i="35"/>
  <c r="AG26" i="35"/>
  <c r="AG25" i="35"/>
  <c r="AG28" i="35"/>
  <c r="AG32" i="35"/>
  <c r="L25" i="35"/>
  <c r="L26" i="35"/>
  <c r="L29" i="35"/>
  <c r="L31" i="35"/>
  <c r="L28" i="35"/>
  <c r="L32" i="35"/>
  <c r="Y26" i="35"/>
  <c r="Y28" i="35"/>
  <c r="Y32" i="35"/>
  <c r="Y25" i="35"/>
  <c r="Y29" i="35"/>
  <c r="Y31" i="35"/>
  <c r="AA32" i="35"/>
  <c r="AA26" i="35"/>
  <c r="AA29" i="35"/>
  <c r="AA28" i="35"/>
  <c r="AA25" i="35"/>
  <c r="AA31" i="35"/>
  <c r="M25" i="35"/>
  <c r="M28" i="35"/>
  <c r="M32" i="35"/>
  <c r="M31" i="35"/>
  <c r="M26" i="35"/>
  <c r="M29" i="35"/>
  <c r="AF28" i="35"/>
  <c r="AF31" i="35"/>
  <c r="AF25" i="35"/>
  <c r="AF29" i="35"/>
  <c r="AF26" i="35"/>
  <c r="AF32" i="35"/>
  <c r="E31" i="35"/>
  <c r="E28" i="35"/>
  <c r="E25" i="35"/>
  <c r="E32" i="35"/>
  <c r="E29" i="35"/>
  <c r="E26" i="35"/>
  <c r="X25" i="35"/>
  <c r="X29" i="35"/>
  <c r="X31" i="35"/>
  <c r="X32" i="35"/>
  <c r="X26" i="35"/>
  <c r="X28" i="35"/>
  <c r="N25" i="35"/>
  <c r="N26" i="35"/>
  <c r="N32" i="35"/>
  <c r="N31" i="35"/>
  <c r="N29" i="35"/>
  <c r="N28" i="35"/>
  <c r="AB29" i="35"/>
  <c r="AB26" i="35"/>
  <c r="AB32" i="35"/>
  <c r="AB31" i="35"/>
  <c r="AB28" i="35"/>
  <c r="AB25" i="35"/>
  <c r="W32" i="35"/>
  <c r="W31" i="35"/>
  <c r="W25" i="35"/>
  <c r="W29" i="35"/>
  <c r="W26" i="35"/>
  <c r="W28" i="35"/>
  <c r="E23" i="33"/>
  <c r="E25" i="33" s="1"/>
  <c r="H25" i="33"/>
  <c r="H22" i="33"/>
  <c r="F22" i="33"/>
  <c r="F23" i="33"/>
  <c r="F25" i="33" s="1"/>
  <c r="E21" i="36"/>
  <c r="E38" i="36" s="1"/>
  <c r="E22" i="36"/>
  <c r="E39" i="36" s="1"/>
  <c r="I40" i="35" l="1"/>
  <c r="F21" i="36"/>
  <c r="F38" i="36" s="1"/>
  <c r="F22" i="36"/>
  <c r="F39" i="36" s="1"/>
  <c r="J40" i="35" l="1"/>
  <c r="G22" i="36"/>
  <c r="G39" i="36" s="1"/>
  <c r="G21" i="36"/>
  <c r="G38" i="36" s="1"/>
  <c r="K40" i="35" l="1"/>
  <c r="H22" i="36"/>
  <c r="H39" i="36" s="1"/>
  <c r="H21" i="36"/>
  <c r="H38" i="36" s="1"/>
  <c r="L40" i="35" l="1"/>
  <c r="I21" i="36"/>
  <c r="I38" i="36" s="1"/>
  <c r="I22" i="36"/>
  <c r="I39" i="36" s="1"/>
  <c r="M40" i="35" l="1"/>
  <c r="N40" i="35" s="1"/>
  <c r="O40" i="35" s="1"/>
  <c r="P40" i="35" s="1"/>
  <c r="Q40" i="35" s="1"/>
  <c r="R40" i="35" s="1"/>
  <c r="S40" i="35" s="1"/>
  <c r="T40" i="35" s="1"/>
  <c r="U40" i="35" s="1"/>
  <c r="V40" i="35" s="1"/>
  <c r="W40" i="35" s="1"/>
  <c r="X40" i="35" s="1"/>
  <c r="Y40" i="35" s="1"/>
  <c r="Z40" i="35" s="1"/>
  <c r="AA40" i="35" s="1"/>
  <c r="AB40" i="35" s="1"/>
  <c r="AC40" i="35" s="1"/>
  <c r="AD40" i="35" s="1"/>
  <c r="AE40" i="35" s="1"/>
  <c r="AF40" i="35" s="1"/>
  <c r="AG40" i="35" s="1"/>
  <c r="C41" i="32" l="1"/>
  <c r="D41" i="32" l="1"/>
  <c r="E41" i="32" l="1"/>
  <c r="F41" i="32" l="1"/>
  <c r="G41" i="32" l="1"/>
  <c r="H41" i="32" l="1"/>
  <c r="I41" i="32" l="1"/>
  <c r="J41" i="32" l="1"/>
  <c r="K41" i="32" l="1"/>
  <c r="L41" i="32" s="1"/>
  <c r="M41" i="32" s="1"/>
  <c r="C32" i="34" s="1"/>
  <c r="D32" i="34" l="1"/>
  <c r="E32" i="34" s="1"/>
  <c r="F32" i="34" s="1"/>
  <c r="G32" i="34" s="1"/>
  <c r="H32" i="34" s="1"/>
  <c r="I32" i="34" s="1"/>
  <c r="J32" i="34" s="1"/>
  <c r="K32" i="34" s="1"/>
  <c r="L32" i="34" s="1"/>
  <c r="M32" i="34" s="1"/>
  <c r="C32" i="45" s="1"/>
  <c r="E32" i="45" l="1"/>
  <c r="F32" i="45" l="1"/>
  <c r="A48" i="1"/>
  <c r="A36" i="1"/>
  <c r="G32" i="45" l="1"/>
  <c r="H32" i="45" l="1"/>
  <c r="I32" i="45" l="1"/>
  <c r="J32" i="45" l="1"/>
  <c r="K32" i="45" l="1"/>
  <c r="L32" i="45" l="1"/>
  <c r="M32" i="45" s="1"/>
  <c r="N32" i="45" s="1"/>
  <c r="C30" i="33" l="1"/>
  <c r="D30" i="33" l="1"/>
  <c r="E30" i="33" l="1"/>
  <c r="F30" i="33" l="1"/>
  <c r="G30" i="33" l="1"/>
  <c r="H30" i="33" l="1"/>
  <c r="I30" i="33" l="1"/>
  <c r="J30" i="33" l="1"/>
  <c r="K30" i="33" l="1"/>
  <c r="L30" i="33" l="1"/>
  <c r="M30" i="33" l="1"/>
  <c r="C49" i="36" l="1"/>
  <c r="D49" i="36" s="1"/>
  <c r="E49" i="36" l="1"/>
  <c r="F49" i="36" l="1"/>
  <c r="G49" i="36" l="1"/>
  <c r="H49" i="36" l="1"/>
  <c r="I49" i="36" l="1"/>
  <c r="J49" i="36" l="1"/>
  <c r="K49" i="36" l="1"/>
  <c r="L49" i="36" l="1"/>
  <c r="M49" i="36" l="1"/>
  <c r="N70" i="38"/>
  <c r="C76" i="38"/>
  <c r="G22" i="38"/>
  <c r="A83" i="38"/>
  <c r="K85" i="38"/>
  <c r="B80" i="38"/>
  <c r="K63" i="38"/>
  <c r="F68" i="38"/>
  <c r="N47" i="38"/>
  <c r="N52" i="38"/>
  <c r="L78" i="38"/>
  <c r="K15" i="38"/>
  <c r="D80" i="38" l="1"/>
  <c r="G9" i="38"/>
  <c r="F9" i="38"/>
  <c r="D9" i="38"/>
  <c r="L9" i="38"/>
  <c r="C9" i="38"/>
  <c r="A9" i="38"/>
  <c r="O9" i="38"/>
  <c r="C25" i="38"/>
  <c r="I26" i="38"/>
  <c r="L80" i="38"/>
  <c r="G73" i="38"/>
  <c r="K45" i="38"/>
  <c r="B9" i="38"/>
  <c r="J62" i="38"/>
  <c r="K51" i="38"/>
  <c r="J52" i="38"/>
  <c r="F56" i="38"/>
  <c r="J9" i="38"/>
  <c r="B22" i="38"/>
  <c r="F25" i="38"/>
  <c r="F41" i="38"/>
  <c r="H36" i="38"/>
  <c r="I9" i="38"/>
  <c r="D79" i="38"/>
  <c r="L88" i="38"/>
  <c r="N78" i="38"/>
  <c r="O54" i="38"/>
  <c r="K9" i="38"/>
  <c r="O89" i="38"/>
  <c r="K54" i="38"/>
  <c r="O69" i="38"/>
  <c r="H60" i="38"/>
  <c r="H9" i="38"/>
  <c r="I12" i="38"/>
  <c r="O18" i="38"/>
  <c r="L75" i="38"/>
  <c r="H44" i="38"/>
  <c r="M9" i="38"/>
  <c r="O68" i="38"/>
  <c r="O70" i="38"/>
  <c r="G63" i="38"/>
  <c r="I77" i="38"/>
  <c r="N9" i="38"/>
  <c r="D66" i="38"/>
  <c r="L28" i="38"/>
  <c r="M76" i="38"/>
  <c r="N24" i="38"/>
  <c r="H23" i="38"/>
  <c r="N80" i="38"/>
  <c r="H54" i="38"/>
  <c r="I36" i="38"/>
  <c r="N81" i="38"/>
  <c r="M20" i="38"/>
  <c r="J78" i="38"/>
  <c r="K55" i="38"/>
  <c r="E9" i="38"/>
  <c r="E76" i="38"/>
  <c r="E81" i="38"/>
  <c r="E35" i="38"/>
  <c r="E31" i="38"/>
  <c r="E72" i="38"/>
  <c r="E29" i="38"/>
  <c r="E67" i="38"/>
  <c r="E14" i="38"/>
  <c r="E83" i="38"/>
  <c r="E79" i="38"/>
  <c r="E87" i="38"/>
  <c r="E41" i="38"/>
  <c r="E24" i="38"/>
  <c r="E38" i="38"/>
  <c r="E70" i="38"/>
  <c r="E75" i="38"/>
  <c r="E74" i="38"/>
  <c r="E55" i="38"/>
  <c r="E34" i="38"/>
  <c r="E21" i="38"/>
  <c r="E59" i="38"/>
  <c r="E53" i="38"/>
  <c r="E25" i="38"/>
  <c r="E32" i="38"/>
  <c r="E20" i="38"/>
  <c r="E62" i="38"/>
  <c r="E61" i="38"/>
  <c r="E71" i="38"/>
  <c r="E19" i="38"/>
  <c r="E45" i="38"/>
  <c r="E11" i="38"/>
  <c r="E63" i="38"/>
  <c r="E54" i="38"/>
  <c r="E39" i="38"/>
  <c r="E16" i="38"/>
  <c r="E43" i="38"/>
  <c r="E40" i="38"/>
  <c r="E56" i="38"/>
  <c r="E15" i="38"/>
  <c r="E89" i="38"/>
  <c r="E68" i="38"/>
  <c r="E80" i="38"/>
  <c r="E33" i="38"/>
  <c r="E27" i="38"/>
  <c r="E17" i="38"/>
  <c r="E64" i="38"/>
  <c r="E57" i="38"/>
  <c r="E49" i="38"/>
  <c r="E46" i="38"/>
  <c r="E77" i="38"/>
  <c r="E82" i="38"/>
  <c r="E44" i="38"/>
  <c r="E36" i="38"/>
  <c r="E13" i="38"/>
  <c r="E60" i="38"/>
  <c r="E18" i="38"/>
  <c r="E12" i="38"/>
  <c r="E86" i="38"/>
  <c r="E10" i="38"/>
  <c r="E30" i="38"/>
  <c r="E58" i="38"/>
  <c r="E42" i="38"/>
  <c r="E73" i="38"/>
  <c r="E28" i="38"/>
  <c r="E85" i="38"/>
  <c r="E23" i="38"/>
  <c r="E69" i="38"/>
  <c r="E26" i="38"/>
  <c r="E88" i="38"/>
  <c r="E51" i="38"/>
  <c r="E47" i="38"/>
  <c r="E66" i="38"/>
  <c r="E50" i="38"/>
  <c r="E22" i="38"/>
  <c r="E48" i="38"/>
  <c r="E37" i="38"/>
  <c r="E65" i="38"/>
  <c r="E84" i="38"/>
  <c r="E52" i="38"/>
  <c r="E78" i="38"/>
  <c r="L65" i="38"/>
  <c r="A52" i="38"/>
  <c r="L56" i="38"/>
  <c r="H27" i="38"/>
  <c r="F11" i="38"/>
  <c r="K29" i="38"/>
  <c r="K70" i="38"/>
  <c r="D50" i="38"/>
  <c r="I15" i="38"/>
  <c r="I30" i="38"/>
  <c r="M87" i="38"/>
  <c r="L11" i="38"/>
  <c r="G59" i="38"/>
  <c r="K84" i="38"/>
  <c r="A61" i="38"/>
  <c r="L37" i="38"/>
  <c r="N32" i="38"/>
  <c r="J27" i="38"/>
  <c r="M30" i="38"/>
  <c r="F13" i="38"/>
  <c r="I46" i="38"/>
  <c r="D74" i="38"/>
  <c r="J18" i="38"/>
  <c r="I61" i="38"/>
  <c r="B36" i="38"/>
  <c r="M38" i="38"/>
  <c r="I85" i="38"/>
  <c r="N82" i="38"/>
  <c r="B50" i="38"/>
  <c r="I72" i="38"/>
  <c r="L89" i="38"/>
  <c r="N79" i="38"/>
  <c r="D71" i="38"/>
  <c r="O46" i="38"/>
  <c r="L17" i="38"/>
  <c r="J30" i="38"/>
  <c r="F86" i="38"/>
  <c r="I74" i="38"/>
  <c r="A55" i="38"/>
  <c r="O61" i="38"/>
  <c r="G12" i="38"/>
  <c r="M10" i="38"/>
  <c r="G84" i="38"/>
  <c r="M23" i="38"/>
  <c r="I58" i="38"/>
  <c r="A71" i="38"/>
  <c r="F84" i="38"/>
  <c r="H48" i="38"/>
  <c r="F37" i="38"/>
  <c r="G13" i="38"/>
  <c r="N15" i="38"/>
  <c r="G87" i="38"/>
  <c r="I20" i="38"/>
  <c r="N44" i="38"/>
  <c r="M64" i="38"/>
  <c r="O43" i="38"/>
  <c r="A26" i="38"/>
  <c r="K86" i="38"/>
  <c r="I68" i="38"/>
  <c r="C63" i="38"/>
  <c r="K83" i="38"/>
  <c r="I27" i="38"/>
  <c r="C58" i="38"/>
  <c r="O74" i="38"/>
  <c r="N50" i="38"/>
  <c r="O78" i="38"/>
  <c r="O60" i="38"/>
  <c r="M81" i="38"/>
  <c r="G28" i="38"/>
  <c r="G67" i="38"/>
  <c r="B85" i="38"/>
  <c r="F22" i="38"/>
  <c r="I78" i="38"/>
  <c r="H63" i="38"/>
  <c r="L82" i="38"/>
  <c r="C38" i="38"/>
  <c r="J15" i="38"/>
  <c r="F39" i="38"/>
  <c r="B60" i="38"/>
  <c r="F66" i="38"/>
  <c r="L49" i="38"/>
  <c r="I64" i="38"/>
  <c r="I34" i="38"/>
  <c r="B66" i="38"/>
  <c r="I48" i="38"/>
  <c r="O75" i="38"/>
  <c r="L19" i="38"/>
  <c r="F81" i="38"/>
  <c r="M59" i="38"/>
  <c r="G24" i="38"/>
  <c r="G46" i="38"/>
  <c r="I59" i="38"/>
  <c r="F88" i="38"/>
  <c r="D17" i="38"/>
  <c r="A43" i="38"/>
  <c r="O79" i="38"/>
  <c r="O35" i="38"/>
  <c r="B10" i="38"/>
  <c r="N60" i="38"/>
  <c r="L15" i="38"/>
  <c r="G82" i="38"/>
  <c r="I66" i="38"/>
  <c r="K53" i="38"/>
  <c r="M57" i="38"/>
  <c r="D72" i="38"/>
  <c r="J77" i="38"/>
  <c r="D78" i="38"/>
  <c r="B37" i="38"/>
  <c r="G45" i="38"/>
  <c r="L72" i="38"/>
  <c r="B78" i="38"/>
  <c r="A60" i="38"/>
  <c r="D58" i="38"/>
  <c r="B16" i="38"/>
  <c r="B46" i="38"/>
  <c r="O88" i="38"/>
  <c r="H78" i="38"/>
  <c r="N37" i="38"/>
  <c r="K21" i="38"/>
  <c r="D39" i="38"/>
  <c r="K47" i="38"/>
  <c r="C79" i="38"/>
  <c r="C28" i="38"/>
  <c r="F38" i="38"/>
  <c r="K25" i="38"/>
  <c r="A59" i="38"/>
  <c r="H18" i="38"/>
  <c r="I60" i="38"/>
  <c r="G77" i="38"/>
  <c r="D45" i="38"/>
  <c r="B24" i="38"/>
  <c r="D53" i="38"/>
  <c r="D67" i="38"/>
  <c r="D16" i="38"/>
  <c r="H22" i="38"/>
  <c r="C35" i="38"/>
  <c r="N76" i="38"/>
  <c r="J76" i="38"/>
  <c r="D76" i="38"/>
  <c r="J26" i="38"/>
  <c r="O87" i="38"/>
  <c r="A11" i="38"/>
  <c r="A74" i="38"/>
  <c r="D24" i="38"/>
  <c r="D44" i="38"/>
  <c r="C37" i="38"/>
  <c r="N38" i="38"/>
  <c r="I56" i="38"/>
  <c r="H52" i="38"/>
  <c r="G52" i="38"/>
  <c r="O12" i="38"/>
  <c r="A42" i="38"/>
  <c r="K19" i="38"/>
  <c r="J37" i="38"/>
  <c r="F20" i="38"/>
  <c r="O83" i="38"/>
  <c r="J42" i="38"/>
  <c r="I79" i="38"/>
  <c r="N67" i="38"/>
  <c r="J80" i="38"/>
  <c r="D18" i="38"/>
  <c r="M27" i="38"/>
  <c r="D25" i="38"/>
  <c r="I38" i="38"/>
  <c r="I37" i="38"/>
  <c r="D34" i="38"/>
  <c r="I75" i="38"/>
  <c r="H37" i="38"/>
  <c r="N49" i="38"/>
  <c r="K65" i="38"/>
  <c r="B25" i="38"/>
  <c r="K74" i="38"/>
  <c r="L59" i="38"/>
  <c r="N22" i="38"/>
  <c r="C40" i="38"/>
  <c r="K78" i="38"/>
  <c r="C77" i="38"/>
  <c r="B33" i="38"/>
  <c r="M15" i="38"/>
  <c r="L58" i="38"/>
  <c r="I47" i="38"/>
  <c r="J65" i="38"/>
  <c r="G54" i="38"/>
  <c r="A56" i="38"/>
  <c r="M31" i="38"/>
  <c r="K56" i="38"/>
  <c r="N75" i="38"/>
  <c r="G85" i="38"/>
  <c r="J67" i="38"/>
  <c r="I45" i="38"/>
  <c r="F16" i="38"/>
  <c r="A30" i="38"/>
  <c r="F48" i="38"/>
  <c r="K60" i="38"/>
  <c r="A22" i="38"/>
  <c r="A36" i="38"/>
  <c r="A82" i="38"/>
  <c r="K40" i="38"/>
  <c r="G86" i="38"/>
  <c r="G69" i="38"/>
  <c r="C88" i="38"/>
  <c r="A19" i="38"/>
  <c r="H73" i="38"/>
  <c r="G55" i="38"/>
  <c r="N19" i="38"/>
  <c r="O22" i="38"/>
  <c r="M58" i="38"/>
  <c r="J10" i="38"/>
  <c r="B44" i="38"/>
  <c r="M16" i="38"/>
  <c r="F78" i="38"/>
  <c r="G30" i="38"/>
  <c r="F54" i="38"/>
  <c r="J36" i="38"/>
  <c r="N87" i="38"/>
  <c r="O38" i="38"/>
  <c r="K12" i="38"/>
  <c r="D51" i="38"/>
  <c r="H24" i="38"/>
  <c r="O24" i="38"/>
  <c r="N23" i="38"/>
  <c r="C11" i="38"/>
  <c r="C74" i="38"/>
  <c r="C56" i="38"/>
  <c r="C12" i="38"/>
  <c r="J32" i="38"/>
  <c r="L70" i="38"/>
  <c r="C55" i="38"/>
  <c r="C42" i="38"/>
  <c r="O66" i="38"/>
  <c r="L35" i="38"/>
  <c r="N46" i="38"/>
  <c r="N13" i="38"/>
  <c r="C60" i="38"/>
  <c r="C13" i="38"/>
  <c r="F30" i="38"/>
  <c r="I70" i="38"/>
  <c r="A57" i="38"/>
  <c r="H70" i="38"/>
  <c r="G11" i="38"/>
  <c r="A47" i="38"/>
  <c r="H34" i="38"/>
  <c r="J58" i="38"/>
  <c r="B61" i="38"/>
  <c r="F63" i="38"/>
  <c r="F46" i="38"/>
  <c r="I41" i="38"/>
  <c r="I55" i="38"/>
  <c r="C62" i="38"/>
  <c r="M32" i="38"/>
  <c r="G61" i="38"/>
  <c r="I25" i="38"/>
  <c r="D65" i="38"/>
  <c r="I82" i="38"/>
  <c r="H84" i="38"/>
  <c r="I42" i="38"/>
  <c r="I32" i="38"/>
  <c r="M67" i="38"/>
  <c r="O81" i="38"/>
  <c r="N41" i="38"/>
  <c r="L46" i="38"/>
  <c r="K37" i="38"/>
  <c r="C78" i="38"/>
  <c r="C57" i="38"/>
  <c r="B59" i="38"/>
  <c r="N53" i="38"/>
  <c r="K75" i="38"/>
  <c r="M43" i="38"/>
  <c r="J88" i="38"/>
  <c r="D26" i="38"/>
  <c r="C24" i="38"/>
  <c r="K34" i="38"/>
  <c r="M80" i="38"/>
  <c r="B28" i="38"/>
  <c r="O56" i="38"/>
  <c r="B75" i="38"/>
  <c r="G50" i="38"/>
  <c r="G64" i="38"/>
  <c r="H82" i="38"/>
  <c r="C30" i="38"/>
  <c r="C67" i="38"/>
  <c r="D38" i="38"/>
  <c r="K89" i="38"/>
  <c r="C53" i="38"/>
  <c r="D68" i="38"/>
  <c r="A16" i="38"/>
  <c r="H11" i="38"/>
  <c r="B57" i="38"/>
  <c r="I43" i="38"/>
  <c r="J48" i="38"/>
  <c r="B63" i="38"/>
  <c r="N21" i="38"/>
  <c r="D55" i="38"/>
  <c r="F34" i="38"/>
  <c r="D63" i="38"/>
  <c r="H17" i="38"/>
  <c r="D23" i="38"/>
  <c r="N74" i="38"/>
  <c r="L38" i="38"/>
  <c r="L43" i="38"/>
  <c r="B43" i="38"/>
  <c r="C84" i="38"/>
  <c r="I52" i="38"/>
  <c r="B53" i="38"/>
  <c r="I31" i="38"/>
  <c r="N35" i="38"/>
  <c r="B77" i="38"/>
  <c r="L64" i="38"/>
  <c r="F83" i="38"/>
  <c r="H26" i="38"/>
  <c r="C81" i="38"/>
  <c r="H88" i="38"/>
  <c r="F29" i="38"/>
  <c r="J25" i="38"/>
  <c r="F24" i="38"/>
  <c r="N25" i="38"/>
  <c r="H45" i="38"/>
  <c r="J47" i="38"/>
  <c r="D81" i="38"/>
  <c r="M52" i="38"/>
  <c r="C68" i="38"/>
  <c r="H29" i="38"/>
  <c r="A18" i="38"/>
  <c r="B13" i="38"/>
  <c r="B69" i="38"/>
  <c r="G65" i="38"/>
  <c r="L21" i="38"/>
  <c r="G81" i="38"/>
  <c r="G10" i="38"/>
  <c r="G33" i="38"/>
  <c r="C26" i="38"/>
  <c r="J56" i="38"/>
  <c r="O51" i="38"/>
  <c r="K39" i="38"/>
  <c r="L16" i="38"/>
  <c r="C19" i="38"/>
  <c r="G51" i="38"/>
  <c r="O41" i="38"/>
  <c r="F62" i="38"/>
  <c r="J12" i="38"/>
  <c r="K76" i="38"/>
  <c r="C64" i="38"/>
  <c r="G58" i="38"/>
  <c r="A77" i="38"/>
  <c r="B19" i="38"/>
  <c r="G75" i="38"/>
  <c r="C66" i="38"/>
  <c r="A34" i="38"/>
  <c r="H89" i="38"/>
  <c r="O73" i="38"/>
  <c r="M14" i="38"/>
  <c r="L48" i="38"/>
  <c r="C14" i="38"/>
  <c r="G37" i="38"/>
  <c r="G27" i="38"/>
  <c r="F32" i="38"/>
  <c r="J75" i="38"/>
  <c r="M26" i="38"/>
  <c r="I86" i="38"/>
  <c r="N64" i="38"/>
  <c r="G17" i="38"/>
  <c r="G70" i="38"/>
  <c r="K49" i="38"/>
  <c r="F52" i="38"/>
  <c r="O84" i="38"/>
  <c r="O63" i="38"/>
  <c r="F33" i="38"/>
  <c r="N55" i="38"/>
  <c r="J45" i="38"/>
  <c r="C50" i="38"/>
  <c r="J29" i="38"/>
  <c r="A14" i="38"/>
  <c r="J63" i="38"/>
  <c r="B35" i="38"/>
  <c r="M83" i="38"/>
  <c r="B21" i="38"/>
  <c r="O37" i="38"/>
  <c r="B14" i="38"/>
  <c r="F17" i="38"/>
  <c r="O32" i="38"/>
  <c r="N42" i="38"/>
  <c r="H76" i="38"/>
  <c r="J82" i="38"/>
  <c r="I81" i="38"/>
  <c r="G18" i="38"/>
  <c r="G76" i="38"/>
  <c r="K88" i="38"/>
  <c r="O42" i="38"/>
  <c r="B64" i="38"/>
  <c r="M55" i="38"/>
  <c r="J19" i="38"/>
  <c r="I18" i="38"/>
  <c r="H13" i="38"/>
  <c r="K18" i="38"/>
  <c r="I21" i="38"/>
  <c r="J74" i="38"/>
  <c r="G60" i="38"/>
  <c r="A87" i="38"/>
  <c r="F45" i="38"/>
  <c r="L44" i="38"/>
  <c r="J53" i="38"/>
  <c r="N18" i="38"/>
  <c r="J34" i="38"/>
  <c r="G74" i="38"/>
  <c r="D64" i="38"/>
  <c r="B38" i="38"/>
  <c r="L50" i="38"/>
  <c r="O53" i="38"/>
  <c r="O36" i="38"/>
  <c r="M69" i="38"/>
  <c r="L39" i="38"/>
  <c r="L79" i="38"/>
  <c r="G35" i="38"/>
  <c r="D84" i="38"/>
  <c r="J85" i="38"/>
  <c r="N71" i="38"/>
  <c r="N77" i="38"/>
  <c r="B54" i="38"/>
  <c r="K73" i="38"/>
  <c r="M13" i="38"/>
  <c r="C87" i="38"/>
  <c r="K17" i="38"/>
  <c r="G80" i="38"/>
  <c r="B20" i="38"/>
  <c r="C18" i="38"/>
  <c r="N63" i="38"/>
  <c r="N59" i="38"/>
  <c r="O13" i="38"/>
  <c r="G53" i="38"/>
  <c r="B17" i="38"/>
  <c r="J89" i="38"/>
  <c r="A81" i="38"/>
  <c r="D20" i="38"/>
  <c r="C41" i="38"/>
  <c r="I69" i="38"/>
  <c r="M74" i="38"/>
  <c r="L76" i="38"/>
  <c r="I83" i="38"/>
  <c r="H35" i="38"/>
  <c r="A46" i="38"/>
  <c r="C29" i="38"/>
  <c r="J70" i="38"/>
  <c r="N36" i="38"/>
  <c r="O48" i="38"/>
  <c r="G48" i="38"/>
  <c r="N61" i="38"/>
  <c r="H32" i="38"/>
  <c r="G21" i="38"/>
  <c r="O31" i="38"/>
  <c r="A33" i="38"/>
  <c r="J31" i="38"/>
  <c r="F85" i="38"/>
  <c r="D46" i="38"/>
  <c r="K42" i="38"/>
  <c r="N16" i="38"/>
  <c r="L66" i="38"/>
  <c r="H42" i="38"/>
  <c r="J21" i="38"/>
  <c r="O50" i="38"/>
  <c r="F28" i="38"/>
  <c r="I80" i="38"/>
  <c r="H85" i="38"/>
  <c r="K79" i="38"/>
  <c r="C73" i="38"/>
  <c r="G26" i="38"/>
  <c r="M50" i="38"/>
  <c r="O23" i="38"/>
  <c r="L12" i="38"/>
  <c r="F73" i="38"/>
  <c r="N12" i="38"/>
  <c r="A28" i="38"/>
  <c r="O34" i="38"/>
  <c r="B56" i="38"/>
  <c r="O71" i="38"/>
  <c r="L74" i="38"/>
  <c r="O19" i="38"/>
  <c r="F72" i="38"/>
  <c r="B84" i="38"/>
  <c r="A62" i="38"/>
  <c r="J24" i="38"/>
  <c r="C80" i="38"/>
  <c r="N28" i="38"/>
  <c r="H53" i="38"/>
  <c r="C45" i="38"/>
  <c r="C20" i="38"/>
  <c r="J60" i="38"/>
  <c r="M51" i="38"/>
  <c r="D59" i="38"/>
  <c r="C15" i="38"/>
  <c r="C27" i="38"/>
  <c r="B52" i="38"/>
  <c r="M75" i="38"/>
  <c r="C69" i="38"/>
  <c r="J59" i="38"/>
  <c r="F70" i="38"/>
  <c r="N62" i="38"/>
  <c r="H41" i="38"/>
  <c r="M54" i="38"/>
  <c r="H30" i="38"/>
  <c r="J13" i="38"/>
  <c r="F60" i="38"/>
  <c r="I57" i="38"/>
  <c r="K33" i="38"/>
  <c r="M49" i="38"/>
  <c r="D77" i="38"/>
  <c r="K22" i="38"/>
  <c r="M61" i="38"/>
  <c r="I71" i="38"/>
  <c r="H62" i="38"/>
  <c r="B76" i="38"/>
  <c r="A32" i="38"/>
  <c r="K14" i="38"/>
  <c r="H15" i="38"/>
  <c r="A12" i="38"/>
  <c r="A45" i="38"/>
  <c r="N65" i="38"/>
  <c r="A79" i="38"/>
  <c r="L53" i="38"/>
  <c r="G15" i="38"/>
  <c r="K32" i="38"/>
  <c r="H66" i="38"/>
  <c r="F67" i="38"/>
  <c r="J22" i="38"/>
  <c r="A31" i="38"/>
  <c r="C72" i="38"/>
  <c r="B55" i="38"/>
  <c r="H38" i="38"/>
  <c r="G39" i="38"/>
  <c r="I16" i="38"/>
  <c r="F10" i="38"/>
  <c r="O25" i="38"/>
  <c r="B62" i="38"/>
  <c r="H75" i="38"/>
  <c r="A13" i="38"/>
  <c r="N57" i="38"/>
  <c r="J84" i="38"/>
  <c r="L33" i="38"/>
  <c r="B12" i="38"/>
  <c r="M11" i="38"/>
  <c r="M24" i="38"/>
  <c r="L47" i="38"/>
  <c r="J86" i="38"/>
  <c r="O77" i="38"/>
  <c r="L40" i="38"/>
  <c r="B26" i="38"/>
  <c r="M85" i="38"/>
  <c r="J87" i="38"/>
  <c r="M45" i="38"/>
  <c r="K10" i="38"/>
  <c r="B47" i="38"/>
  <c r="C46" i="38"/>
  <c r="M37" i="38"/>
  <c r="K77" i="38"/>
  <c r="C16" i="38"/>
  <c r="D89" i="38"/>
  <c r="L85" i="38"/>
  <c r="F53" i="38"/>
  <c r="I24" i="38"/>
  <c r="C70" i="38"/>
  <c r="H74" i="38"/>
  <c r="C10" i="38"/>
  <c r="D15" i="38"/>
  <c r="N83" i="38"/>
  <c r="B31" i="38"/>
  <c r="I22" i="38"/>
  <c r="J35" i="38"/>
  <c r="J39" i="38"/>
  <c r="F12" i="38"/>
  <c r="L41" i="38"/>
  <c r="O29" i="38"/>
  <c r="C83" i="38"/>
  <c r="C65" i="38"/>
  <c r="B51" i="38"/>
  <c r="B40" i="38"/>
  <c r="A29" i="38"/>
  <c r="O86" i="38"/>
  <c r="D52" i="38"/>
  <c r="G31" i="38"/>
  <c r="F21" i="38"/>
  <c r="G23" i="38"/>
  <c r="L45" i="38"/>
  <c r="B87" i="38"/>
  <c r="F69" i="38"/>
  <c r="N11" i="38"/>
  <c r="O76" i="38"/>
  <c r="N20" i="38"/>
  <c r="M19" i="38"/>
  <c r="D28" i="38"/>
  <c r="F42" i="38"/>
  <c r="B30" i="38"/>
  <c r="N69" i="38"/>
  <c r="C75" i="38"/>
  <c r="H81" i="38"/>
  <c r="H59" i="38"/>
  <c r="F87" i="38"/>
  <c r="F31" i="38"/>
  <c r="B49" i="38"/>
  <c r="I35" i="38"/>
  <c r="O64" i="38"/>
  <c r="K59" i="38"/>
  <c r="M42" i="38"/>
  <c r="M44" i="38"/>
  <c r="O21" i="38"/>
  <c r="O49" i="38"/>
  <c r="A35" i="38"/>
  <c r="O55" i="38"/>
  <c r="F75" i="38"/>
  <c r="K64" i="38"/>
  <c r="L86" i="38"/>
  <c r="M63" i="38"/>
  <c r="A23" i="38"/>
  <c r="J49" i="38"/>
  <c r="M77" i="38"/>
  <c r="M72" i="38"/>
  <c r="I53" i="38"/>
  <c r="G83" i="38"/>
  <c r="C85" i="38"/>
  <c r="K82" i="38"/>
  <c r="F36" i="38"/>
  <c r="M88" i="38"/>
  <c r="D86" i="38"/>
  <c r="M71" i="38"/>
  <c r="D33" i="38"/>
  <c r="G29" i="38"/>
  <c r="I62" i="38"/>
  <c r="H83" i="38"/>
  <c r="O57" i="38"/>
  <c r="I29" i="38"/>
  <c r="M34" i="38"/>
  <c r="F26" i="38"/>
  <c r="H21" i="38"/>
  <c r="B23" i="38"/>
  <c r="C31" i="38"/>
  <c r="I17" i="38"/>
  <c r="K67" i="38"/>
  <c r="K57" i="38"/>
  <c r="O67" i="38"/>
  <c r="C61" i="38"/>
  <c r="M21" i="38"/>
  <c r="F51" i="38"/>
  <c r="B88" i="38"/>
  <c r="H19" i="38"/>
  <c r="H14" i="38"/>
  <c r="L73" i="38"/>
  <c r="I33" i="38"/>
  <c r="N56" i="38"/>
  <c r="K62" i="38"/>
  <c r="J81" i="38"/>
  <c r="J38" i="38"/>
  <c r="L32" i="38"/>
  <c r="G14" i="38"/>
  <c r="K13" i="38"/>
  <c r="H80" i="38"/>
  <c r="D36" i="38"/>
  <c r="J50" i="38"/>
  <c r="O82" i="38"/>
  <c r="I88" i="38"/>
  <c r="H68" i="38"/>
  <c r="I63" i="38"/>
  <c r="A76" i="38"/>
  <c r="A58" i="38"/>
  <c r="N68" i="38"/>
  <c r="D48" i="38"/>
  <c r="B86" i="38"/>
  <c r="A10" i="38"/>
  <c r="D56" i="38"/>
  <c r="J68" i="38"/>
  <c r="F18" i="38"/>
  <c r="D42" i="38"/>
  <c r="O11" i="38"/>
  <c r="J61" i="38"/>
  <c r="A41" i="38"/>
  <c r="M79" i="38"/>
  <c r="C89" i="38"/>
  <c r="C23" i="38"/>
  <c r="C32" i="38"/>
  <c r="N85" i="38"/>
  <c r="H33" i="38"/>
  <c r="J20" i="38"/>
  <c r="F23" i="38"/>
  <c r="M17" i="38"/>
  <c r="G32" i="38"/>
  <c r="H12" i="38"/>
  <c r="G71" i="38"/>
  <c r="A44" i="38"/>
  <c r="H67" i="38"/>
  <c r="B65" i="38"/>
  <c r="G40" i="38"/>
  <c r="L10" i="38"/>
  <c r="K38" i="38"/>
  <c r="N73" i="38"/>
  <c r="N89" i="38"/>
  <c r="K46" i="38"/>
  <c r="H43" i="38"/>
  <c r="M82" i="38"/>
  <c r="G16" i="38"/>
  <c r="A63" i="38"/>
  <c r="G68" i="38"/>
  <c r="B15" i="38"/>
  <c r="M73" i="38"/>
  <c r="M28" i="38"/>
  <c r="L77" i="38"/>
  <c r="I54" i="38"/>
  <c r="M36" i="38"/>
  <c r="O62" i="38"/>
  <c r="K41" i="38"/>
  <c r="D31" i="38"/>
  <c r="I44" i="38"/>
  <c r="J14" i="38"/>
  <c r="B68" i="38"/>
  <c r="L61" i="38"/>
  <c r="K52" i="38"/>
  <c r="J28" i="38"/>
  <c r="L71" i="38"/>
  <c r="D83" i="38"/>
  <c r="B34" i="38"/>
  <c r="G34" i="38"/>
  <c r="K48" i="38"/>
  <c r="A48" i="38"/>
  <c r="I49" i="38"/>
  <c r="A75" i="38"/>
  <c r="H47" i="38"/>
  <c r="B70" i="38"/>
  <c r="G19" i="38"/>
  <c r="A20" i="38"/>
  <c r="K68" i="38"/>
  <c r="A67" i="38"/>
  <c r="H69" i="38"/>
  <c r="I50" i="38"/>
  <c r="O47" i="38"/>
  <c r="L67" i="38"/>
  <c r="K24" i="38"/>
  <c r="M78" i="38"/>
  <c r="B83" i="38"/>
  <c r="I65" i="38"/>
  <c r="D73" i="38"/>
  <c r="F43" i="38"/>
  <c r="H64" i="38"/>
  <c r="B58" i="38"/>
  <c r="M33" i="38"/>
  <c r="A40" i="38"/>
  <c r="B71" i="38"/>
  <c r="O85" i="38"/>
  <c r="M56" i="38"/>
  <c r="N30" i="38"/>
  <c r="A27" i="38"/>
  <c r="J51" i="38"/>
  <c r="O26" i="38"/>
  <c r="H39" i="38"/>
  <c r="C51" i="38"/>
  <c r="D57" i="38"/>
  <c r="N86" i="38"/>
  <c r="G88" i="38"/>
  <c r="G43" i="38"/>
  <c r="O72" i="38"/>
  <c r="K27" i="38"/>
  <c r="D30" i="38"/>
  <c r="A88" i="38"/>
  <c r="O17" i="38"/>
  <c r="M48" i="38"/>
  <c r="J43" i="38"/>
  <c r="D60" i="38"/>
  <c r="D43" i="38"/>
  <c r="G56" i="38"/>
  <c r="K72" i="38"/>
  <c r="B74" i="38"/>
  <c r="J71" i="38"/>
  <c r="G66" i="38"/>
  <c r="L55" i="38"/>
  <c r="L69" i="38"/>
  <c r="B32" i="38"/>
  <c r="D49" i="38"/>
  <c r="A37" i="38"/>
  <c r="B27" i="38"/>
  <c r="F57" i="38"/>
  <c r="B45" i="38"/>
  <c r="K35" i="38"/>
  <c r="M47" i="38"/>
  <c r="M68" i="38"/>
  <c r="L54" i="38"/>
  <c r="J64" i="38"/>
  <c r="I87" i="38"/>
  <c r="H28" i="38"/>
  <c r="L30" i="38"/>
  <c r="L13" i="38"/>
  <c r="A80" i="38"/>
  <c r="D69" i="38"/>
  <c r="J55" i="38"/>
  <c r="L22" i="38"/>
  <c r="K36" i="38"/>
  <c r="A38" i="38"/>
  <c r="J23" i="38"/>
  <c r="K71" i="38"/>
  <c r="O40" i="38"/>
  <c r="L42" i="38"/>
  <c r="M25" i="38"/>
  <c r="C33" i="38"/>
  <c r="L81" i="38"/>
  <c r="N54" i="38"/>
  <c r="F49" i="38"/>
  <c r="D70" i="38"/>
  <c r="L68" i="38"/>
  <c r="H10" i="38"/>
  <c r="C21" i="38"/>
  <c r="A64" i="38"/>
  <c r="F55" i="38"/>
  <c r="D85" i="38"/>
  <c r="M86" i="38"/>
  <c r="J57" i="38"/>
  <c r="G44" i="38"/>
  <c r="F74" i="38"/>
  <c r="A50" i="38"/>
  <c r="D61" i="38"/>
  <c r="I51" i="38"/>
  <c r="D35" i="38"/>
  <c r="D41" i="38"/>
  <c r="O80" i="38"/>
  <c r="C86" i="38"/>
  <c r="D19" i="38"/>
  <c r="O59" i="38"/>
  <c r="L20" i="38"/>
  <c r="M62" i="38"/>
  <c r="O45" i="38"/>
  <c r="J83" i="38"/>
  <c r="F15" i="38"/>
  <c r="D82" i="38"/>
  <c r="F50" i="38"/>
  <c r="F44" i="38"/>
  <c r="H50" i="38"/>
  <c r="F79" i="38"/>
  <c r="K66" i="38"/>
  <c r="G20" i="38"/>
  <c r="D10" i="38"/>
  <c r="C52" i="38"/>
  <c r="L52" i="38"/>
  <c r="C39" i="38"/>
  <c r="N33" i="38"/>
  <c r="J79" i="38"/>
  <c r="D21" i="38"/>
  <c r="O20" i="38"/>
  <c r="G41" i="38"/>
  <c r="N88" i="38"/>
  <c r="H25" i="38"/>
  <c r="C22" i="38"/>
  <c r="O33" i="38"/>
  <c r="L14" i="38"/>
  <c r="B42" i="38"/>
  <c r="B48" i="38"/>
  <c r="J16" i="38"/>
  <c r="D47" i="38"/>
  <c r="C43" i="38"/>
  <c r="D32" i="38"/>
  <c r="B11" i="38"/>
  <c r="L25" i="38"/>
  <c r="H40" i="38"/>
  <c r="B72" i="38"/>
  <c r="B39" i="38"/>
  <c r="F64" i="38"/>
  <c r="I19" i="38"/>
  <c r="N27" i="38"/>
  <c r="L27" i="38"/>
  <c r="M12" i="38"/>
  <c r="L18" i="38"/>
  <c r="A15" i="38"/>
  <c r="O27" i="38"/>
  <c r="A84" i="38"/>
  <c r="K16" i="38"/>
  <c r="D29" i="38"/>
  <c r="G25" i="38"/>
  <c r="D40" i="38"/>
  <c r="L26" i="38"/>
  <c r="A89" i="38"/>
  <c r="N39" i="38"/>
  <c r="C36" i="38"/>
  <c r="M65" i="38"/>
  <c r="A21" i="38"/>
  <c r="G79" i="38"/>
  <c r="G72" i="38"/>
  <c r="J41" i="38"/>
  <c r="I76" i="38"/>
  <c r="F27" i="38"/>
  <c r="K50" i="38"/>
  <c r="D54" i="38"/>
  <c r="F58" i="38"/>
  <c r="J44" i="38"/>
  <c r="I89" i="38"/>
  <c r="H49" i="38"/>
  <c r="H20" i="38"/>
  <c r="K43" i="38"/>
  <c r="A69" i="38"/>
  <c r="F65" i="38"/>
  <c r="H72" i="38"/>
  <c r="M60" i="38"/>
  <c r="C49" i="38"/>
  <c r="B41" i="38"/>
  <c r="N72" i="38"/>
  <c r="B67" i="38"/>
  <c r="H86" i="38"/>
  <c r="C17" i="38"/>
  <c r="D14" i="38"/>
  <c r="M53" i="38"/>
  <c r="K20" i="38"/>
  <c r="F71" i="38"/>
  <c r="A49" i="38"/>
  <c r="N84" i="38"/>
  <c r="L51" i="38"/>
  <c r="F14" i="38"/>
  <c r="K69" i="38"/>
  <c r="I84" i="38"/>
  <c r="D11" i="38"/>
  <c r="F40" i="38"/>
  <c r="A54" i="38"/>
  <c r="F61" i="38"/>
  <c r="J69" i="38"/>
  <c r="F19" i="38"/>
  <c r="N58" i="38"/>
  <c r="K87" i="38"/>
  <c r="A39" i="38"/>
  <c r="A65" i="38"/>
  <c r="N34" i="38"/>
  <c r="G36" i="38"/>
  <c r="K26" i="38"/>
  <c r="N14" i="38"/>
  <c r="I39" i="38"/>
  <c r="C54" i="38"/>
  <c r="A78" i="38"/>
  <c r="K58" i="38"/>
  <c r="H65" i="38"/>
  <c r="I10" i="38"/>
  <c r="G57" i="38"/>
  <c r="O65" i="38"/>
  <c r="C82" i="38"/>
  <c r="G42" i="38"/>
  <c r="I13" i="38"/>
  <c r="N40" i="38"/>
  <c r="G49" i="38"/>
  <c r="D13" i="38"/>
  <c r="H61" i="38"/>
  <c r="O44" i="38"/>
  <c r="H31" i="38"/>
  <c r="D22" i="38"/>
  <c r="A24" i="38"/>
  <c r="A51" i="38"/>
  <c r="J40" i="38"/>
  <c r="K44" i="38"/>
  <c r="A70" i="38"/>
  <c r="L62" i="38"/>
  <c r="K11" i="38"/>
  <c r="D75" i="38"/>
  <c r="B82" i="38"/>
  <c r="I14" i="38"/>
  <c r="H51" i="38"/>
  <c r="L29" i="38"/>
  <c r="J46" i="38"/>
  <c r="G62" i="38"/>
  <c r="H56" i="38"/>
  <c r="L23" i="38"/>
  <c r="M29" i="38"/>
  <c r="L36" i="38"/>
  <c r="A68" i="38"/>
  <c r="J54" i="38"/>
  <c r="M46" i="38"/>
  <c r="O30" i="38"/>
  <c r="F77" i="38"/>
  <c r="J73" i="38"/>
  <c r="A85" i="38"/>
  <c r="A72" i="38"/>
  <c r="O16" i="38"/>
  <c r="F82" i="38"/>
  <c r="O15" i="38"/>
  <c r="G38" i="38"/>
  <c r="M40" i="38"/>
  <c r="O28" i="38"/>
  <c r="J11" i="38"/>
  <c r="M89" i="38"/>
  <c r="C59" i="38"/>
  <c r="A53" i="38"/>
  <c r="D62" i="38"/>
  <c r="F59" i="38"/>
  <c r="H16" i="38"/>
  <c r="B89" i="38"/>
  <c r="L60" i="38"/>
  <c r="D37" i="38"/>
  <c r="B18" i="38"/>
  <c r="C34" i="38"/>
  <c r="I67" i="38"/>
  <c r="L63" i="38"/>
  <c r="K28" i="38"/>
  <c r="G89" i="38"/>
  <c r="H79" i="38"/>
  <c r="F80" i="38"/>
  <c r="J66" i="38"/>
  <c r="M41" i="38"/>
  <c r="C71" i="38"/>
  <c r="L87" i="38"/>
  <c r="C47" i="38"/>
  <c r="L57" i="38"/>
  <c r="J33" i="38"/>
  <c r="H87" i="38"/>
  <c r="H58" i="38"/>
  <c r="B29" i="38"/>
  <c r="L83" i="38"/>
  <c r="J17" i="38"/>
  <c r="D87" i="38"/>
  <c r="N29" i="38"/>
  <c r="F89" i="38"/>
  <c r="N51" i="38"/>
  <c r="K80" i="38"/>
  <c r="I40" i="38"/>
  <c r="H46" i="38"/>
  <c r="N17" i="38"/>
  <c r="I73" i="38"/>
  <c r="M66" i="38"/>
  <c r="D88" i="38"/>
  <c r="O39" i="38"/>
  <c r="A17" i="38"/>
  <c r="D12" i="38"/>
  <c r="O14" i="38"/>
  <c r="J72" i="38"/>
  <c r="K81" i="38"/>
  <c r="C44" i="38"/>
  <c r="N45" i="38"/>
  <c r="M70" i="38"/>
  <c r="A25" i="38"/>
  <c r="M39" i="38"/>
  <c r="M35" i="38"/>
  <c r="N48" i="38"/>
  <c r="O58" i="38"/>
  <c r="N31" i="38"/>
  <c r="M18" i="38"/>
  <c r="A86" i="38"/>
  <c r="A73" i="38"/>
  <c r="B73" i="38"/>
  <c r="K31" i="38"/>
  <c r="H77" i="38"/>
  <c r="K23" i="38"/>
  <c r="G47" i="38"/>
  <c r="G78" i="38"/>
  <c r="I23" i="38"/>
  <c r="H55" i="38"/>
  <c r="H71" i="38"/>
  <c r="I28" i="38"/>
  <c r="D27" i="38"/>
  <c r="L31" i="38"/>
  <c r="B81" i="38"/>
  <c r="I11" i="38"/>
  <c r="K61" i="38"/>
  <c r="A66" i="38"/>
  <c r="N43" i="38"/>
  <c r="L24" i="38"/>
  <c r="L84" i="38"/>
  <c r="K30" i="38"/>
  <c r="O10" i="38"/>
  <c r="N26" i="38"/>
  <c r="M84" i="38"/>
  <c r="N10" i="38"/>
  <c r="F35" i="38"/>
  <c r="C48" i="38"/>
  <c r="M22" i="38"/>
  <c r="O52" i="38"/>
  <c r="L34" i="38"/>
  <c r="B79" i="38"/>
  <c r="H57" i="38"/>
  <c r="F76" i="38"/>
  <c r="F47" i="38"/>
  <c r="N66" i="38"/>
  <c r="O90" i="38" l="1"/>
  <c r="M90" i="38"/>
  <c r="K90" i="38"/>
  <c r="L90" i="38"/>
  <c r="N90" i="38"/>
  <c r="J90" i="38"/>
  <c r="F90" i="38"/>
  <c r="H90" i="38"/>
  <c r="G90" i="38"/>
  <c r="I90" i="38"/>
  <c r="I98" i="38" s="1"/>
  <c r="G98" i="38"/>
  <c r="O98" i="38"/>
  <c r="K98" i="38"/>
  <c r="M98" i="38"/>
  <c r="F92" i="3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tc={7DC7D199-08F2-4C81-A165-D8E63CE5BD07}</author>
  </authors>
  <commentList>
    <comment ref="A1" authorId="0" shapeId="0" xr:uid="{7DC7D199-08F2-4C81-A165-D8E63CE5BD07}">
      <text>
        <t>[Threaded comment]
Your version of Excel allows you to read this threaded comment; however, any edits to it will get removed if the file is opened in a newer version of Excel. Learn more: https://go.microsoft.com/fwlink/?linkid=870924
Comment:
    could add glossary if needed</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<sst xmlns="http://schemas.openxmlformats.org/spreadsheetml/2006/main" count="2487" uniqueCount="1102">
  <si>
    <t>Rule Registrations Section</t>
  </si>
  <si>
    <t>Texas Commission on Environmental Quality</t>
  </si>
  <si>
    <t>This workbook is a tool for Aggregate Processing Operations that can be authorized by PBR.</t>
  </si>
  <si>
    <t>Accessibility Disclaimer: This workbook contains intentionally blank cells.</t>
  </si>
  <si>
    <t>Permits by Rule Included in the APO Application Workbook</t>
  </si>
  <si>
    <t>Rule Reference</t>
  </si>
  <si>
    <t>Facility Description</t>
  </si>
  <si>
    <t>30 TAC § 106.141</t>
  </si>
  <si>
    <t>Batch mixers</t>
  </si>
  <si>
    <t>30 TAC § 106.143</t>
  </si>
  <si>
    <t>Wet sand and gravel production</t>
  </si>
  <si>
    <t>30 TAC § 106.144</t>
  </si>
  <si>
    <t>Bulk mineral handling</t>
  </si>
  <si>
    <t>30 TAC § 106.145</t>
  </si>
  <si>
    <t>30 TAC § 106.146</t>
  </si>
  <si>
    <t>30 TAC § 106.148</t>
  </si>
  <si>
    <t>30 TAC § 106.149</t>
  </si>
  <si>
    <t>30 TAC § 106.150</t>
  </si>
  <si>
    <t>Asphalt silos</t>
  </si>
  <si>
    <t>Workbook Instructions</t>
  </si>
  <si>
    <t>How to Submit</t>
  </si>
  <si>
    <t>After this workbook has been completed, it should be combined with the non-confidential information of the application and submitted as an attachment through the STEERS ePermits system:</t>
  </si>
  <si>
    <t>https://www3.tceq.texas.gov/steers/</t>
  </si>
  <si>
    <t>https://www.tceq.texas.gov/permitting/air/confidential.html</t>
  </si>
  <si>
    <t>Table of Contents</t>
  </si>
  <si>
    <t>General Information</t>
  </si>
  <si>
    <t>I. Rule Selection</t>
  </si>
  <si>
    <t>Rule</t>
  </si>
  <si>
    <t>Requested Information</t>
  </si>
  <si>
    <t>Response</t>
  </si>
  <si>
    <t> </t>
  </si>
  <si>
    <t>City</t>
  </si>
  <si>
    <t>County</t>
  </si>
  <si>
    <t>Instructions:</t>
  </si>
  <si>
    <t>lb/hr</t>
  </si>
  <si>
    <t>tpy</t>
  </si>
  <si>
    <t>Material</t>
  </si>
  <si>
    <t>Sand</t>
  </si>
  <si>
    <t>Control Efficiency (%)</t>
  </si>
  <si>
    <t>PM (lb/hr)</t>
  </si>
  <si>
    <t>Yes</t>
  </si>
  <si>
    <t>Created Date:</t>
  </si>
  <si>
    <t>Project Manager</t>
  </si>
  <si>
    <t>John-Paul LaLonde</t>
  </si>
  <si>
    <t>Team Members</t>
  </si>
  <si>
    <t>*Future Proof Note</t>
  </si>
  <si>
    <t>EF = 0.000332 + 0.00105(-V)e((0.0251)(T + 460) - 20.43)</t>
  </si>
  <si>
    <t>AP-42, Table 11.19.2-2:  (English Units). EMISSION FACTORS FOR CRUSHED STONE PROCESSING OPERATIONS (lb/Ton) (08/04)</t>
  </si>
  <si>
    <t>Emission Source</t>
  </si>
  <si>
    <t>Emission Factor</t>
  </si>
  <si>
    <t>No data</t>
  </si>
  <si>
    <t>PM (lb/ton)</t>
  </si>
  <si>
    <r>
      <t>PM</t>
    </r>
    <r>
      <rPr>
        <vertAlign val="subscript"/>
        <sz val="11"/>
        <rFont val="Arial"/>
        <family val="2"/>
      </rPr>
      <t>10</t>
    </r>
    <r>
      <rPr>
        <sz val="11"/>
        <rFont val="Arial"/>
        <family val="2"/>
      </rPr>
      <t xml:space="preserve"> (lb/ton)</t>
    </r>
  </si>
  <si>
    <r>
      <t>PM</t>
    </r>
    <r>
      <rPr>
        <vertAlign val="subscript"/>
        <sz val="11"/>
        <rFont val="Arial"/>
        <family val="2"/>
      </rPr>
      <t>2.5</t>
    </r>
    <r>
      <rPr>
        <sz val="11"/>
        <rFont val="Arial"/>
        <family val="2"/>
      </rPr>
      <t xml:space="preserve"> (lb/ton)</t>
    </r>
  </si>
  <si>
    <t>Tertiary Crushing (All) - Dry</t>
  </si>
  <si>
    <t>Tertiary Crushing (All) - Wet</t>
  </si>
  <si>
    <t>Fines Crushing (All) - Dry</t>
  </si>
  <si>
    <t>Fines Crushing (All) - Wet</t>
  </si>
  <si>
    <t>Screening (All) - Dry</t>
  </si>
  <si>
    <t>Screening (All) - Wet</t>
  </si>
  <si>
    <t>Fines Screening - Dry</t>
  </si>
  <si>
    <t>Fines Screening - Wet</t>
  </si>
  <si>
    <t>Conveyor Transfer - Dry</t>
  </si>
  <si>
    <t xml:space="preserve">Conveyor Transfer - Wet </t>
  </si>
  <si>
    <t>Truck Unloading Fragmented Stone</t>
  </si>
  <si>
    <t>Truck Loading Conveyor, Crushed Stone</t>
  </si>
  <si>
    <t>If a conveyor is over 300 ft and is not enclosed then calculate fugitives as one drop every 300 ft</t>
  </si>
  <si>
    <t>Conveying per 300 ft - Wet</t>
  </si>
  <si>
    <t>Dry = Uncontrolled Emission Rates</t>
  </si>
  <si>
    <t>Wet = Controlled Emission Rates</t>
  </si>
  <si>
    <r>
      <t>1. PM and PM</t>
    </r>
    <r>
      <rPr>
        <i/>
        <vertAlign val="subscript"/>
        <sz val="11"/>
        <rFont val="Arial"/>
        <family val="2"/>
      </rPr>
      <t>10</t>
    </r>
    <r>
      <rPr>
        <i/>
        <sz val="11"/>
        <rFont val="Arial"/>
        <family val="2"/>
      </rPr>
      <t xml:space="preserve"> emission factors for Primary Crushing (Jaw) are the AP-42 1995 emission factors for Primary Crusher. </t>
    </r>
  </si>
  <si>
    <t>These emission factors should only be used for Jaw Crushers.</t>
  </si>
  <si>
    <t>2. Secondary Crushing uses Tertiary Crushing emission factors per footnote (n) of AP-42 Ch. 11.19.2-2.</t>
  </si>
  <si>
    <r>
      <t>Where PM</t>
    </r>
    <r>
      <rPr>
        <i/>
        <vertAlign val="subscript"/>
        <sz val="11"/>
        <rFont val="Arial"/>
        <family val="2"/>
      </rPr>
      <t>2.5</t>
    </r>
    <r>
      <rPr>
        <i/>
        <sz val="11"/>
        <rFont val="Arial"/>
        <family val="2"/>
      </rPr>
      <t xml:space="preserve"> emission factors (EF) are not provided in AP-42 Ch. 11-.19.2-2, a ratio of aerodynamic particle size multipliers </t>
    </r>
  </si>
  <si>
    <t>from AP-42 Ch. 13.2.4 was used to estimate PM2.5 emission factors. PM2.5 EF = (PM10 EF/0.35)*0.053</t>
  </si>
  <si>
    <t>AP-42, Table 13.2.4-1: Typical Silt and Moisture Contents of Materials at Various Industries (11/06)</t>
  </si>
  <si>
    <t>Industry</t>
  </si>
  <si>
    <t>No. of 
Facilities</t>
  </si>
  <si>
    <t>Silt Content: 
No. of Samples</t>
  </si>
  <si>
    <t>Silt Content: 
Range (%)</t>
  </si>
  <si>
    <t>Silt Content: 
Mean (%)</t>
  </si>
  <si>
    <t>Moisture Content: 
No. of Samples</t>
  </si>
  <si>
    <t>Moisture Content: 
Range (%)</t>
  </si>
  <si>
    <t>Moisture Content: 
Mean (%)</t>
  </si>
  <si>
    <t>Iron and steel production</t>
  </si>
  <si>
    <t>Pellet ore</t>
  </si>
  <si>
    <t>1.3 - 13</t>
  </si>
  <si>
    <t>0.64 - 4.0</t>
  </si>
  <si>
    <t>Lump ore</t>
  </si>
  <si>
    <t>2.8 - 19</t>
  </si>
  <si>
    <t>1.6 - 8.0</t>
  </si>
  <si>
    <t>Coal</t>
  </si>
  <si>
    <t>2.0 - 7.7</t>
  </si>
  <si>
    <t>2.8 - 11</t>
  </si>
  <si>
    <t>Slag</t>
  </si>
  <si>
    <t>3.0 - 7.3</t>
  </si>
  <si>
    <t>0.25 - 2.0</t>
  </si>
  <si>
    <t>Flue dust</t>
  </si>
  <si>
    <t>2.7 - 23</t>
  </si>
  <si>
    <t>-</t>
  </si>
  <si>
    <t>Coke breeze</t>
  </si>
  <si>
    <t>4.4 - 5.4</t>
  </si>
  <si>
    <t>6.4 - 9.2</t>
  </si>
  <si>
    <t>Blended ore</t>
  </si>
  <si>
    <t>Sinter</t>
  </si>
  <si>
    <t>Limestone</t>
  </si>
  <si>
    <t>0.4 - 2.3</t>
  </si>
  <si>
    <t>no data</t>
  </si>
  <si>
    <t>Stone quarrying and processing</t>
  </si>
  <si>
    <t>Crushed limestone</t>
  </si>
  <si>
    <t>1.3 - 1.9</t>
  </si>
  <si>
    <t>0.3 - 1.1</t>
  </si>
  <si>
    <t>Various limestone products</t>
  </si>
  <si>
    <t>0.8 - 14</t>
  </si>
  <si>
    <t>0.46 - 5.0</t>
  </si>
  <si>
    <t>Taconite mining and processing</t>
  </si>
  <si>
    <t>Pellets</t>
  </si>
  <si>
    <t>2.2 - 5.4</t>
  </si>
  <si>
    <t>0.05 - 2.0</t>
  </si>
  <si>
    <t>Tailings</t>
  </si>
  <si>
    <t>Western surface coal mining</t>
  </si>
  <si>
    <t>3.4 - 16</t>
  </si>
  <si>
    <t>2.8 - 20</t>
  </si>
  <si>
    <t>Overburden</t>
  </si>
  <si>
    <t>3.8 - 15</t>
  </si>
  <si>
    <t>Exposed ground</t>
  </si>
  <si>
    <t>5.1 - 21</t>
  </si>
  <si>
    <t>0.8 - 6.4</t>
  </si>
  <si>
    <t>Coal-fired power plant</t>
  </si>
  <si>
    <t>Coal (as received)</t>
  </si>
  <si>
    <t>0.6 - 4.8</t>
  </si>
  <si>
    <t>2.7 - 7.4</t>
  </si>
  <si>
    <t>Municipal solid waste landfills</t>
  </si>
  <si>
    <t>3.0 - 4.7</t>
  </si>
  <si>
    <t>2.3 - 4.9</t>
  </si>
  <si>
    <t>Cover</t>
  </si>
  <si>
    <t>5.0 - 16</t>
  </si>
  <si>
    <t>8.9 - 16</t>
  </si>
  <si>
    <t>Clay/dirt mix</t>
  </si>
  <si>
    <t>Clay</t>
  </si>
  <si>
    <t>4.5 - 7.4</t>
  </si>
  <si>
    <t>8.9 - 11</t>
  </si>
  <si>
    <t>Fly ash</t>
  </si>
  <si>
    <t>78 - 81</t>
  </si>
  <si>
    <t>26 - 29</t>
  </si>
  <si>
    <t>Misc. fill materials</t>
  </si>
  <si>
    <t>AP 42 Chapter 7: Liquid Storage Tanks - Table 7.1-7. METEOROLOGICAL DATA (TAX, TAN, V, I, PA) FOR SELECTED U.S. LOCATIONSa- (6/20)</t>
  </si>
  <si>
    <t>Location</t>
  </si>
  <si>
    <t>Symbol</t>
  </si>
  <si>
    <t>Units</t>
  </si>
  <si>
    <t>Jan</t>
  </si>
  <si>
    <t>Feb</t>
  </si>
  <si>
    <t>Mar</t>
  </si>
  <si>
    <t>Apr</t>
  </si>
  <si>
    <t>May</t>
  </si>
  <si>
    <t>Jun</t>
  </si>
  <si>
    <t>Jul</t>
  </si>
  <si>
    <t>Aug</t>
  </si>
  <si>
    <t>Sep</t>
  </si>
  <si>
    <t>Oct</t>
  </si>
  <si>
    <t>Nov</t>
  </si>
  <si>
    <t>Dec</t>
  </si>
  <si>
    <t>Annual</t>
  </si>
  <si>
    <t>Abilene, TX</t>
  </si>
  <si>
    <t>TAN</t>
  </si>
  <si>
    <t>F</t>
  </si>
  <si>
    <t>TAX</t>
  </si>
  <si>
    <t>V</t>
  </si>
  <si>
    <t>mi/hr</t>
  </si>
  <si>
    <t>I</t>
  </si>
  <si>
    <t>btu/ft2/day</t>
  </si>
  <si>
    <t>PA</t>
  </si>
  <si>
    <t>lb/in2</t>
  </si>
  <si>
    <t>Amarillo, TX</t>
  </si>
  <si>
    <t>Austin, TX</t>
  </si>
  <si>
    <t>Brownsville, TX</t>
  </si>
  <si>
    <t>Corpus Christi, TX</t>
  </si>
  <si>
    <t>El Paso, TX</t>
  </si>
  <si>
    <t>Dallas-Fort Worth, TX</t>
  </si>
  <si>
    <t>Houston, TX</t>
  </si>
  <si>
    <t>Lubbock, TX</t>
  </si>
  <si>
    <t>Lufkin, TX</t>
  </si>
  <si>
    <t>Midland-Odessa, TX</t>
  </si>
  <si>
    <t>Port Arthur, TX</t>
  </si>
  <si>
    <t>San Angelo, TX</t>
  </si>
  <si>
    <t>San Antonio, TX</t>
  </si>
  <si>
    <t>Shreveport, LA</t>
  </si>
  <si>
    <t>Victoria, TX</t>
  </si>
  <si>
    <t>Waco, TX</t>
  </si>
  <si>
    <t>Wichita Falls, TX</t>
  </si>
  <si>
    <t>Del Rio, TX</t>
  </si>
  <si>
    <t>Galveston, TX</t>
  </si>
  <si>
    <t xml:space="preserve">106.150 Checklist </t>
  </si>
  <si>
    <t>based on tceq 10112 (APDG 5011V6, Revised 07/15)</t>
  </si>
  <si>
    <t>Is the batch mixer only used for mixing cement, sand, aggregate, lime, gypsum, additives, and/or water to produce concrete, grout, stucco, mortar, or other similar products?</t>
  </si>
  <si>
    <t>Is the batch mixer rated with a capacity of 27 cubic feet or less?</t>
  </si>
  <si>
    <t>Will the engine be rated less than 25 horsepower?</t>
  </si>
  <si>
    <t>Will the owner or operator use best management practices for dust control by cleaning up spilled raw materials, waste products, or finished products on a daily basis?</t>
  </si>
  <si>
    <t>Will the owner or operator use best management practices for dust control by controlling dust in transfer systems, stockpiles, work areas, storage, and truck unloading areas?</t>
  </si>
  <si>
    <t>Will the site obtain the sand and gravel from subterranean and subaqueous beds?</t>
  </si>
  <si>
    <t>Will the site handle wet sand and gravel that has an expected moisture content of greater than 3% and will the sand be easily clumped?</t>
  </si>
  <si>
    <t>Do the sand and gravel materials result from natural disintegration of rock and stone?</t>
  </si>
  <si>
    <t>Will the hourly production rate of the site be ≤ 500 tons per hour?</t>
  </si>
  <si>
    <t>Will all permanent in-plant roads be paved and cleaned as necessary or watered as necessary to achieve maximum control of dust emissions?</t>
  </si>
  <si>
    <t>30 TAC § 106.144 PBR Checklist - Bulk Mineral Product Handling Facilities</t>
  </si>
  <si>
    <t>Will the facility only handle bulk mineral products (except asbestos)?</t>
  </si>
  <si>
    <t>Will all material be transported in a closed conveying system?</t>
  </si>
  <si>
    <t>Will all exhaust air to the atmosphere be vented through fabric filter(s) having a maximum filtering velocity of 4.0 feet per minute (ft/min) with mechanical cleaning or 7.0 ft/min with automatic air cleaning?</t>
  </si>
  <si>
    <t>Will all permanent in-plant roads and vehicle work areas be watered, treated with dust-suppressant chemicals, oiled, or paved and cleaned as necessary to achieve maximum control of dust emissions?</t>
  </si>
  <si>
    <t>Will the facility (including associated stationary equipment and stockpiles) be located at least 300 feet from any recreational area, school, residence, or other structure not occupied or used solely by the owner of the property upon which the facility is located?</t>
  </si>
  <si>
    <t>30 TAC § 106.145 PBR Checklist - Bulk Sand Handling Facility</t>
  </si>
  <si>
    <t>Will the site only handle oil well servicing bulk sand?</t>
  </si>
  <si>
    <t>Will all sand be prewashed?</t>
  </si>
  <si>
    <t>Will all handling of sand be mechanical?</t>
  </si>
  <si>
    <t>The company has indicated that sand shall be conveyed pneumatically. Will the conveying air be vented to the atmosphere through a fabric filter(s) having a maximum filtering velocity of 4.0 feet per minute (ft/min) with mechanical cleaning or 7.0 ft/min with air cleaning?</t>
  </si>
  <si>
    <t>Will all in-plant roads and vehicle work areas be watered, treated with dust-suppressant chemicals, oiled, or paved and cleaned as necessary to achieve maximum control of dust emissions?</t>
  </si>
  <si>
    <t>Is each facility's emission source (including all equipment and stockpiles) located at least 300 feet from the nearest offsite receptor?</t>
  </si>
  <si>
    <t>30 TAC § 106.146 PBR Checklist - Soil Stabilization Plants</t>
  </si>
  <si>
    <t>Will this facility be used to make concrete?</t>
  </si>
  <si>
    <t>Will the bulk storage silo(s) be equipped with a fabric filter(s) having a maximum filtering velocity of 4.0 feet per minute (ft/min) with mechanical cleaning or 7.0 ft/min with automatic air cleaning?</t>
  </si>
  <si>
    <t>Will all conveyor belts that transfer dry material to the pug mill be top covered?</t>
  </si>
  <si>
    <t>Will the pug mill used to mix the materials be covered?</t>
  </si>
  <si>
    <t>Will all permanent in-plant roads and vehicle work areas be watered, oiled, or paved and cleaned as necessary to achieve maximum control of dust emissions?</t>
  </si>
  <si>
    <t>Will an audible and/or visible mechanism be installed on the storage silo(s) to notify operators that the silo is full?</t>
  </si>
  <si>
    <t>Will all stockpiles be sprinkled with water and/or chemicals as necessary to achieve maximum control of dust emissions?</t>
  </si>
  <si>
    <t>Will emulsified asphalt be used as the stabilizing admixture?</t>
  </si>
  <si>
    <t>Will the emulsified asphalt be stored in a container used exclusively for emulsified asphalt storage?</t>
  </si>
  <si>
    <t>Will the transfer of emulsified asphalt from the storage tank to the pug mill be accomplished by means of a pump and metering device?</t>
  </si>
  <si>
    <t>Will the facility be located at least 300 feet from any recreational area, school, residence, or other structure not occupied or used solely by the owner of the facility or the owner of the property upon which the facility is located?</t>
  </si>
  <si>
    <t>30 TAC § 106.148 PBR Checklist - Railcar or Truck Unloading Facilities</t>
  </si>
  <si>
    <t>30 TAC § 106.149 PBR Checklist - Sand and Gravel Production Facilities</t>
  </si>
  <si>
    <t>Are the sand and gravel materials resulting from natural disintegration of rock and stone?</t>
  </si>
  <si>
    <t>Will water sprays be installed on the plant at all screens and transfer points and used as necessary to achieve maximum control of dust emissions?</t>
  </si>
  <si>
    <t>Will the area that the sand and gravel is obtained in be sprinkled with water as necessary to achieve maximum control of dust emissions before the material is removed and transported for processing?</t>
  </si>
  <si>
    <t>Will all permanent in-plant roads be paved, cleaned and sprinkled with water and/or chemicals as necessary to achieve maximum control of dust emissions?</t>
  </si>
  <si>
    <t>Will the facility be located at least 1/4 mile from any recreational area, school, residence, or other structure not occupied or used solely by the owner of the facility or the owner of the property upon which the facility is located?</t>
  </si>
  <si>
    <t>Will the hourly production rate of all sand production occurring at the site be ≤ 50 tons per hour?</t>
  </si>
  <si>
    <t>30 TAC § 106.150 PBR Checklist - Asphalt Concrete Storage Silo</t>
  </si>
  <si>
    <t>Is the silo(s) used to store hot mix asphalt or asphalt emulsion concrete mixtures?</t>
  </si>
  <si>
    <t>Is the silo(s) used to store cutback asphalt mixtures?</t>
  </si>
  <si>
    <t>How long will the silo(s) be on location?</t>
  </si>
  <si>
    <t>What fuel is used for heating the silo(s)?</t>
  </si>
  <si>
    <t>Is the silo(s) located at least 300 feet or more from the nearest offsite receptor?</t>
  </si>
  <si>
    <t>Please select any/all State or Federal Standards that apply to this site. By selecting any of the options below, you are also stating that you will be in compliance with all applicable requirements.</t>
  </si>
  <si>
    <t>Type in any/all State or Federal Standards that apply to this site.</t>
  </si>
  <si>
    <t>Emission Summary</t>
  </si>
  <si>
    <t>Acronyms and Abbreviations</t>
  </si>
  <si>
    <t>Acronym or Abbreviation</t>
  </si>
  <si>
    <t>Term</t>
  </si>
  <si>
    <t>APO</t>
  </si>
  <si>
    <t>Aggregate Processing Operation(s)</t>
  </si>
  <si>
    <t>PBR</t>
  </si>
  <si>
    <t>Permit by Rule</t>
  </si>
  <si>
    <t>TAC</t>
  </si>
  <si>
    <t>Texas Administrative Code</t>
  </si>
  <si>
    <t>RN</t>
  </si>
  <si>
    <t>Regulated Entity Number</t>
  </si>
  <si>
    <t>RE</t>
  </si>
  <si>
    <t>Regulated Entity</t>
  </si>
  <si>
    <t>CN</t>
  </si>
  <si>
    <t>Customer Number</t>
  </si>
  <si>
    <t>Technical Review: Air Permit by Rule</t>
  </si>
  <si>
    <t>This sheet is to assist APD permit reviewers in filling out their technical reviews.</t>
  </si>
  <si>
    <t>Regulated Entity No.:</t>
  </si>
  <si>
    <t>Customer Reference No.:</t>
  </si>
  <si>
    <t>City/County:</t>
  </si>
  <si>
    <t>Physical Location:</t>
  </si>
  <si>
    <t>Project Type:</t>
  </si>
  <si>
    <t>Permit by Rule Application</t>
  </si>
  <si>
    <t>Date Received by TCEQ:</t>
  </si>
  <si>
    <t>Date Received by Reviewer:</t>
  </si>
  <si>
    <t>Contact Information</t>
  </si>
  <si>
    <t>Responsible Official/ Primary Contact Name and Title:</t>
  </si>
  <si>
    <t>Technical Contact/ Consultant</t>
  </si>
  <si>
    <t>Name and Title:</t>
  </si>
  <si>
    <t>Phone No.:</t>
  </si>
  <si>
    <t>Fax No.:</t>
  </si>
  <si>
    <t>Email:</t>
  </si>
  <si>
    <t>General Rules Check</t>
  </si>
  <si>
    <t>No</t>
  </si>
  <si>
    <t>Comments</t>
  </si>
  <si>
    <t>Describe Overall Process At The Site</t>
  </si>
  <si>
    <t>Describe Project And Involved Process</t>
  </si>
  <si>
    <t>Technical Summary - Describe How The Project Meets The Rules</t>
  </si>
  <si>
    <t>Estimated Emissions</t>
  </si>
  <si>
    <t>EPN / Emission Source</t>
  </si>
  <si>
    <t>VOC
(lb/hr)</t>
  </si>
  <si>
    <t>VOC
(tpy)</t>
  </si>
  <si>
    <t>NOX
(lb/hr)</t>
  </si>
  <si>
    <t>NOX
(tpy)</t>
  </si>
  <si>
    <t>CO
(lb/hr)</t>
  </si>
  <si>
    <t>CO
(tpy)</t>
  </si>
  <si>
    <t>PM10
(lb/hr)</t>
  </si>
  <si>
    <t>PM10
(tpy)</t>
  </si>
  <si>
    <t>PM2.5
(lb/hr)</t>
  </si>
  <si>
    <t>PM2.5
(tpy)</t>
  </si>
  <si>
    <t>SO2
(lb/hr)</t>
  </si>
  <si>
    <t>SO2
(tpy)</t>
  </si>
  <si>
    <t>Other
(lb/hr)</t>
  </si>
  <si>
    <t>Other
(tpy)</t>
  </si>
  <si>
    <t>Total (tpy)</t>
  </si>
  <si>
    <t>Maximum Operating Schedule</t>
  </si>
  <si>
    <t>Hours/Day</t>
  </si>
  <si>
    <t>Days/Week</t>
  </si>
  <si>
    <t>Weeks/Year</t>
  </si>
  <si>
    <t>Hours/Year</t>
  </si>
  <si>
    <t>Site Review/Distance Limit</t>
  </si>
  <si>
    <t>Y</t>
  </si>
  <si>
    <t>N</t>
  </si>
  <si>
    <t>Description/Outcome</t>
  </si>
  <si>
    <t>Date</t>
  </si>
  <si>
    <t>Reviewed by</t>
  </si>
  <si>
    <t>Site Review Required?</t>
  </si>
  <si>
    <t>PBR Distance Limits Met?</t>
  </si>
  <si>
    <t>Compliance History Evaluation - 30 TAC Chapter 60 Rules</t>
  </si>
  <si>
    <t>A compliance history report was reviewed on:</t>
  </si>
  <si>
    <t>Site rating &amp; classification:</t>
  </si>
  <si>
    <t>Company rating &amp; classification:</t>
  </si>
  <si>
    <t>If site was rated unsatisfactory, what action(s) occurred as a result:</t>
  </si>
  <si>
    <t>Project Summary</t>
  </si>
  <si>
    <t>FORMULA</t>
  </si>
  <si>
    <t>RED</t>
  </si>
  <si>
    <t>This sheet gathers information from all over the workbook and organizes it in a way that is easier for permit reviewers to copy and paste into their review documents.</t>
  </si>
  <si>
    <t>Administrative Project Information</t>
  </si>
  <si>
    <t>Company</t>
  </si>
  <si>
    <t>Project Type</t>
  </si>
  <si>
    <t>Initial</t>
  </si>
  <si>
    <t>Facility Name</t>
  </si>
  <si>
    <t>Permit Number</t>
  </si>
  <si>
    <t>TBD</t>
  </si>
  <si>
    <t>Site Name</t>
  </si>
  <si>
    <t>Project Overview</t>
  </si>
  <si>
    <t>Air Contaminant</t>
  </si>
  <si>
    <t>Current Allowable Emission Rates (tpy)</t>
  </si>
  <si>
    <t>Project Allowable Emission Rates (tpy)</t>
  </si>
  <si>
    <t>Change in Allowable Emissions (tpy)</t>
  </si>
  <si>
    <t>Project Emissions Increase (Baseline Actual to Allowable) (tpy) </t>
  </si>
  <si>
    <t>CO</t>
  </si>
  <si>
    <t>PM</t>
  </si>
  <si>
    <t>VOC</t>
  </si>
  <si>
    <t>Public Notice Information</t>
  </si>
  <si>
    <t>The permit reviewer has verified that all public notice requirements were satisfactorily completed for the proposed permit. The permit holder was required to publish Notice of Receipt of Application and Intent to Obtain Permit “First Public Notice” under 30 TAC §39.418. The permit holder was also required to publish Notice of Application and Preliminary Decision “Second Public Notice” under 30 TAC §39.419. The notices were consolidated under 30 TAC §39.603(d).
The newspaper notice listed the following pollutants, as required under 30 TAC §39.411(e)(10): carbon monoxide, oxides of nitrogen, sulfur dioxide, organic compounds, particulate matter including particulate matter with diameters of 10 microns or less and 2.5 microns or less, ammonia, and sulfuric acid.</t>
  </si>
  <si>
    <t>Emission Sources</t>
  </si>
  <si>
    <t>Unit Type</t>
  </si>
  <si>
    <t>FINs</t>
  </si>
  <si>
    <t>Requirements</t>
  </si>
  <si>
    <t>Federal Applicability</t>
  </si>
  <si>
    <t>Prevention of Significant Deterioration</t>
  </si>
  <si>
    <t>Nonattainment</t>
  </si>
  <si>
    <t>General Requirements</t>
  </si>
  <si>
    <t>Permit fee</t>
  </si>
  <si>
    <t>Impacts Analysis</t>
  </si>
  <si>
    <t>Is there a school within 3000 ft of any facility authorized by this permit?</t>
  </si>
  <si>
    <t>Maximum Allowable Emission Rate Table</t>
  </si>
  <si>
    <t>EPN</t>
  </si>
  <si>
    <t>Source Name</t>
  </si>
  <si>
    <t>Short-Term Emission Rate (lb/hr)</t>
  </si>
  <si>
    <t>Annual Emission Rate (tpy)</t>
  </si>
  <si>
    <t>ACME Inc</t>
  </si>
  <si>
    <t>NA</t>
  </si>
  <si>
    <t>Harris</t>
  </si>
  <si>
    <t>Stuff and thing back up power for the things and stuff</t>
  </si>
  <si>
    <t>ACME Anvils Manufactorum</t>
  </si>
  <si>
    <t>This project is to authorize (provide number of engines) diesel-fired engine(s) to produce electrical power to be sold to the grid. The engine(s) will not operate more than 300 hours per year for all engines combined. This permit will also authorize (provide number of tanks) small diesel storage tank(s) and the associated engine(s) MSS activities. General sitewide MSS will be authorized separately by PBR 106.263.
This is a greenfield site. OR This is an existing site and other equipment at the site includes: (list other equipment here).</t>
  </si>
  <si>
    <t>NOx</t>
  </si>
  <si>
    <t>SO2</t>
  </si>
  <si>
    <t>PM10</t>
  </si>
  <si>
    <t>PM2.5</t>
  </si>
  <si>
    <t>H2SO4</t>
  </si>
  <si>
    <t>NH3</t>
  </si>
  <si>
    <t>ENG1, ENG2, ENG3, ENG4, ENG5, ENG6, ENG7</t>
  </si>
  <si>
    <t>Tank1, Tank2, Tank3, Tank4, Tank5, Tank6</t>
  </si>
  <si>
    <t>The project emissions increase for each evaluated pollutant and/or precursor is below the threshold. PSD review is not required.</t>
  </si>
  <si>
    <t>Step 3 Determination: The project emissions increase for each evaluated pollutant and/or precursor is below the threshold. PSD review is not required.</t>
  </si>
  <si>
    <t>The project emissions increase for each evaluated pollutant and/or precursor is below the threshold. Nonattainment NSR is not required.</t>
  </si>
  <si>
    <t>Step 3 Determination: The project emissions increase for each evaluated pollutant and/or precursor is below the threshold. Nonattainment NSR is not required. Continue to the next section.</t>
  </si>
  <si>
    <t>The project emissions increase for each evaluated pollutant and/or precursor is below the threshold. Nonattainment NSR is not required. Continue to the next section.</t>
  </si>
  <si>
    <t>This table lists the maximum allowable emission rates and all sources of air contaminants on the applicant’s property covered by this permit. The emission rates shown are those derived from information submitted as part of the application for permit and are the maximum rates allowed for these facilities, sources, and related activities. Any proposed increase in emission rates may require an application for a modification of the facilities covered by this permit.</t>
  </si>
  <si>
    <t>ENG-RCAP</t>
  </si>
  <si>
    <t>Engine RAP CAP</t>
  </si>
  <si>
    <t>TK-RCAP</t>
  </si>
  <si>
    <t>Bunch o Tanks</t>
  </si>
  <si>
    <t>End of workbook. Click here to move to the Instructions sheet.</t>
  </si>
  <si>
    <t>TOTAL</t>
  </si>
  <si>
    <t>Total PM</t>
  </si>
  <si>
    <t>Organic PM</t>
  </si>
  <si>
    <t>TOC</t>
  </si>
  <si>
    <t>EF = 0.00141(-V)e((0.0251)(T + 460) - 20.43)</t>
  </si>
  <si>
    <t>EF = 0.0172(-V)e((0.0251)(T + 460) - 20.43)</t>
  </si>
  <si>
    <t>EF = 0.00558(-V)e((0.0251)(T + 460) - 20.43)</t>
  </si>
  <si>
    <t>EF = 0.000181 + 0.00141(-V)e((0.0251)(T + 460) - 20.43)</t>
  </si>
  <si>
    <t>EF = 0.00105(-V)e((0.0251)(T + 460) - 20.43)</t>
  </si>
  <si>
    <t>EF = 0.0504(-V)e((0.0251)(T + 460) - 20.43)</t>
  </si>
  <si>
    <t>EF = 0.00488(-V)e((0.0251)(T + 460) - 20.43)</t>
  </si>
  <si>
    <t>Emission factor equations from Table 11.1.14 silo filling</t>
  </si>
  <si>
    <t>Wet Material</t>
  </si>
  <si>
    <t>Control Efficiency %</t>
  </si>
  <si>
    <t>None</t>
  </si>
  <si>
    <t>Chemicals</t>
  </si>
  <si>
    <t>Enclosure</t>
  </si>
  <si>
    <t>50-90</t>
  </si>
  <si>
    <t>Pre-washed Material</t>
  </si>
  <si>
    <t>Example Control Methods (emiss-calc-hotmix.xls)</t>
  </si>
  <si>
    <t>Water (spray)</t>
  </si>
  <si>
    <t>AP-42, Chapter 11 12  Concrete Batching</t>
  </si>
  <si>
    <t>lb/ton</t>
  </si>
  <si>
    <t>%</t>
  </si>
  <si>
    <t>Austin</t>
  </si>
  <si>
    <t>Control Factors for Continuous and Batch Drop Points</t>
  </si>
  <si>
    <t>Control Method</t>
  </si>
  <si>
    <t>Control Factor (1 - ctrl eff)</t>
  </si>
  <si>
    <t>Wet material</t>
  </si>
  <si>
    <t>Water</t>
  </si>
  <si>
    <t>Chemicals/foam</t>
  </si>
  <si>
    <t>Partial Enclosure*</t>
  </si>
  <si>
    <t>0.5-0.15</t>
  </si>
  <si>
    <t>Full enclosure*</t>
  </si>
  <si>
    <t>Enclosed by building*</t>
  </si>
  <si>
    <t xml:space="preserve">Washed Sand/gravel </t>
  </si>
  <si>
    <t>Washed Sand/gravel with water spray</t>
  </si>
  <si>
    <t>emiss-calc-cbp</t>
  </si>
  <si>
    <t>Material Handling &amp; Stockpile Emissions</t>
  </si>
  <si>
    <t>This worksheet is used to calculate emissions from material handling and stockpiles.  Enter the requested information in the input cells, or if prompted, select the appropriate answer using the drop-down menu provided.  
A list of commonly accepted emission control methods and their associated efficiency ratings are provided below:
Wet material =  50%
Water sprays =  70%
Chemical foam =  80%
Partial enclosure =  50 - 85%
Full enclosure =  90%
Enclosed by building = Up to 90%
Washed material =  95%
Washed material with water spray =  98.5%</t>
  </si>
  <si>
    <t>tons/hr</t>
  </si>
  <si>
    <t>City Drop Down List</t>
  </si>
  <si>
    <t>Truck Loadout Emission Factor</t>
  </si>
  <si>
    <t>Silo Emission Factor</t>
  </si>
  <si>
    <t>Drop</t>
  </si>
  <si>
    <t xml:space="preserve">Example Control Methods </t>
  </si>
  <si>
    <t>Water Spray</t>
  </si>
  <si>
    <t>Chemical Foam</t>
  </si>
  <si>
    <t>Full Enclosure*</t>
  </si>
  <si>
    <t>blue text - means they don’t pair with 11.19.2-2 table (not sure where they came from)</t>
  </si>
  <si>
    <t>Baghouse</t>
  </si>
  <si>
    <t>(b) AP-40, Air Pollution Engineering Manual, Air and Waste Management Association, 1991, pg 115. "Well designed and operated baghouses have been shown to be capable of reducing overall particulate emissions to less than 0.01 gr/dscf"...."in some cases as low as 0.01 - 0.005 gr/dscf".</t>
  </si>
  <si>
    <t>basis?</t>
  </si>
  <si>
    <t>Errosion of piles?</t>
  </si>
  <si>
    <t>Rarely sited - should this be standard?</t>
  </si>
  <si>
    <t>Unpaved roads</t>
  </si>
  <si>
    <t>Silo Filling</t>
  </si>
  <si>
    <t>Loadout</t>
  </si>
  <si>
    <t>Note populate to provide justification</t>
  </si>
  <si>
    <t>*If an enclosure is claimed, the applicant must provide a description and/or drawing of the enclosure.  
*partial will require additional justification for % choosen</t>
  </si>
  <si>
    <t/>
  </si>
  <si>
    <t>Drop down</t>
  </si>
  <si>
    <t>I. § 106.141 PBR Checklist - Batch Mixers Checklist</t>
  </si>
  <si>
    <t xml:space="preserve">The following checklists are designed to help you confirm that you meet the requirements for Title 30 Texas Administrative Code: </t>
  </si>
  <si>
    <t>add</t>
  </si>
  <si>
    <t>Controlled Already?</t>
  </si>
  <si>
    <t>Data</t>
  </si>
  <si>
    <t>control logic</t>
  </si>
  <si>
    <t>PM Annual Emissions</t>
  </si>
  <si>
    <t>PM10 Annual Emissions</t>
  </si>
  <si>
    <t>PM2.5 Annual Emissions</t>
  </si>
  <si>
    <t>˚F</t>
  </si>
  <si>
    <t>Notes</t>
  </si>
  <si>
    <t>PM Hourly Emissions</t>
  </si>
  <si>
    <t>Type</t>
  </si>
  <si>
    <t>General</t>
  </si>
  <si>
    <t>I. Material Handing</t>
  </si>
  <si>
    <t>Option 1</t>
  </si>
  <si>
    <t>Option 2</t>
  </si>
  <si>
    <t>Option 3</t>
  </si>
  <si>
    <t>Option 4</t>
  </si>
  <si>
    <t>Option 5</t>
  </si>
  <si>
    <t>Option 6</t>
  </si>
  <si>
    <t>Option 7</t>
  </si>
  <si>
    <t>Option 8</t>
  </si>
  <si>
    <t>Option 9</t>
  </si>
  <si>
    <t>Option 10</t>
  </si>
  <si>
    <t>Option 11</t>
  </si>
  <si>
    <t>Option 12</t>
  </si>
  <si>
    <t>Option 13</t>
  </si>
  <si>
    <t>Option 14</t>
  </si>
  <si>
    <t>Option 15</t>
  </si>
  <si>
    <t>ton/hr</t>
  </si>
  <si>
    <t>hr/yr</t>
  </si>
  <si>
    <t>Silo Filling and Truck Loadout</t>
  </si>
  <si>
    <t>acres</t>
  </si>
  <si>
    <t>days/yr</t>
  </si>
  <si>
    <t>lb/day/acre</t>
  </si>
  <si>
    <t>50%-90%</t>
  </si>
  <si>
    <t>FIN</t>
  </si>
  <si>
    <t>- PBRs will not include crushers</t>
  </si>
  <si>
    <t>Conveying per 300 ft - Dry</t>
  </si>
  <si>
    <t>Option 16</t>
  </si>
  <si>
    <t>Option 17</t>
  </si>
  <si>
    <t>Option 18</t>
  </si>
  <si>
    <t>Option 19</t>
  </si>
  <si>
    <t>Option 20</t>
  </si>
  <si>
    <t>Option 21</t>
  </si>
  <si>
    <t>Option 22</t>
  </si>
  <si>
    <t>Option 23</t>
  </si>
  <si>
    <t>Option 24</t>
  </si>
  <si>
    <t>Option 25</t>
  </si>
  <si>
    <t>Option 26</t>
  </si>
  <si>
    <t>Option 27</t>
  </si>
  <si>
    <t>Option 28</t>
  </si>
  <si>
    <t>Option 29</t>
  </si>
  <si>
    <t>Option 30</t>
  </si>
  <si>
    <r>
      <t>Primary Crushing (Jaw) - Dry</t>
    </r>
    <r>
      <rPr>
        <strike/>
        <vertAlign val="superscript"/>
        <sz val="11"/>
        <rFont val="Arial"/>
        <family val="2"/>
      </rPr>
      <t>1</t>
    </r>
  </si>
  <si>
    <r>
      <t>Primary Crushing (Jaw) - Wet</t>
    </r>
    <r>
      <rPr>
        <strike/>
        <vertAlign val="superscript"/>
        <sz val="11"/>
        <rFont val="Arial"/>
        <family val="2"/>
      </rPr>
      <t>1</t>
    </r>
  </si>
  <si>
    <r>
      <t>Secondary Crushing (All) - Dry</t>
    </r>
    <r>
      <rPr>
        <strike/>
        <vertAlign val="superscript"/>
        <sz val="11"/>
        <rFont val="Arial"/>
        <family val="2"/>
      </rPr>
      <t>2</t>
    </r>
  </si>
  <si>
    <r>
      <t>Secondary Crushing (All) - Wet</t>
    </r>
    <r>
      <rPr>
        <strike/>
        <vertAlign val="superscript"/>
        <sz val="11"/>
        <rFont val="Arial"/>
        <family val="2"/>
      </rPr>
      <t>2</t>
    </r>
  </si>
  <si>
    <t>no crushing for PBRS</t>
  </si>
  <si>
    <t>Material Handling</t>
  </si>
  <si>
    <t>counter</t>
  </si>
  <si>
    <t>Asphalt volatility factor*</t>
  </si>
  <si>
    <t>PM emission factor</t>
  </si>
  <si>
    <t>Annual truck loadout rate</t>
  </si>
  <si>
    <t>Hourly truck loadout rate</t>
  </si>
  <si>
    <t>Emission type</t>
  </si>
  <si>
    <t>PM hourly Emissions</t>
  </si>
  <si>
    <t>PM annual Emissions</t>
  </si>
  <si>
    <t>CO hourly emissions</t>
  </si>
  <si>
    <t>CO annual emissions</t>
  </si>
  <si>
    <t>VOC hourly emissions</t>
  </si>
  <si>
    <t>VOC annual emissions</t>
  </si>
  <si>
    <t>PM hourly emissions</t>
  </si>
  <si>
    <t>PM inactive emission factor</t>
  </si>
  <si>
    <t>PM active emission factor</t>
  </si>
  <si>
    <t>PM annual emissions</t>
  </si>
  <si>
    <t>Hourly throughput</t>
  </si>
  <si>
    <t>Annual throughput</t>
  </si>
  <si>
    <t>Moisture content:</t>
  </si>
  <si>
    <t>Number of like points</t>
  </si>
  <si>
    <t>Emission control method</t>
  </si>
  <si>
    <t xml:space="preserve">Final control % </t>
  </si>
  <si>
    <r>
      <t>PM</t>
    </r>
    <r>
      <rPr>
        <vertAlign val="subscript"/>
        <sz val="11"/>
        <color theme="1"/>
        <rFont val="Arial"/>
        <family val="2"/>
      </rPr>
      <t>10</t>
    </r>
  </si>
  <si>
    <r>
      <t>PM</t>
    </r>
    <r>
      <rPr>
        <vertAlign val="subscript"/>
        <sz val="11"/>
        <color theme="1"/>
        <rFont val="Arial"/>
        <family val="2"/>
      </rPr>
      <t>2.5</t>
    </r>
  </si>
  <si>
    <r>
      <t>PM</t>
    </r>
    <r>
      <rPr>
        <vertAlign val="subscript"/>
        <sz val="11"/>
        <color theme="1"/>
        <rFont val="Arial"/>
        <family val="2"/>
      </rPr>
      <t>2.5</t>
    </r>
    <r>
      <rPr>
        <sz val="11"/>
        <color theme="1"/>
        <rFont val="Arial"/>
        <family val="2"/>
      </rPr>
      <t xml:space="preserve"> emission factor</t>
    </r>
  </si>
  <si>
    <r>
      <t>PM</t>
    </r>
    <r>
      <rPr>
        <vertAlign val="subscript"/>
        <sz val="11"/>
        <color theme="1"/>
        <rFont val="Arial"/>
        <family val="2"/>
      </rPr>
      <t>2.5</t>
    </r>
    <r>
      <rPr>
        <sz val="11"/>
        <color theme="1"/>
        <rFont val="Arial"/>
        <family val="2"/>
      </rPr>
      <t xml:space="preserve"> hourly emissions</t>
    </r>
  </si>
  <si>
    <r>
      <t>PM</t>
    </r>
    <r>
      <rPr>
        <vertAlign val="subscript"/>
        <sz val="11"/>
        <color theme="1"/>
        <rFont val="Arial"/>
        <family val="2"/>
      </rPr>
      <t xml:space="preserve">2.5 </t>
    </r>
    <r>
      <rPr>
        <sz val="11"/>
        <color theme="1"/>
        <rFont val="Arial"/>
        <family val="2"/>
      </rPr>
      <t>annual emissions</t>
    </r>
  </si>
  <si>
    <t>Annual usage</t>
  </si>
  <si>
    <r>
      <t>PM</t>
    </r>
    <r>
      <rPr>
        <vertAlign val="subscript"/>
        <sz val="11"/>
        <color theme="1"/>
        <rFont val="Arial"/>
        <family val="2"/>
      </rPr>
      <t>10</t>
    </r>
    <r>
      <rPr>
        <sz val="11"/>
        <color theme="1"/>
        <rFont val="Arial"/>
        <family val="2"/>
      </rPr>
      <t xml:space="preserve"> emission factor</t>
    </r>
  </si>
  <si>
    <t>I acknowledge that I am submitting an authorized TCEQ workbook and any necessary attachments. Except for inputting the requested data and adjusting row height, I have not changed the TCEQ application workbook in any way, including but not limited to changing formulas, formatting, content, or protections.</t>
  </si>
  <si>
    <t>Is this site only authorized under Permits by Rule?</t>
  </si>
  <si>
    <t xml:space="preserve">Is this located at a federal NSR major source (PSD or NNSR)? </t>
  </si>
  <si>
    <t>Is there an associated NSR Case-by-Case permit?</t>
  </si>
  <si>
    <t>Version:</t>
  </si>
  <si>
    <t xml:space="preserve">- PBRs do not include road emission </t>
  </si>
  <si>
    <t>Details</t>
  </si>
  <si>
    <t>- PBRs do include stockpile emissions</t>
  </si>
  <si>
    <t>Attainment Update as of:</t>
  </si>
  <si>
    <t>November 4th, 2022</t>
  </si>
  <si>
    <t>Zavala</t>
  </si>
  <si>
    <t>Zapata</t>
  </si>
  <si>
    <t>Young</t>
  </si>
  <si>
    <t>Yoakum</t>
  </si>
  <si>
    <t>Wood</t>
  </si>
  <si>
    <t>Wise</t>
  </si>
  <si>
    <t>Winkler</t>
  </si>
  <si>
    <t>Wilson</t>
  </si>
  <si>
    <t>Williamson</t>
  </si>
  <si>
    <t>Willacy</t>
  </si>
  <si>
    <t>Wilbarger</t>
  </si>
  <si>
    <t>Wichita</t>
  </si>
  <si>
    <t>Wheeler</t>
  </si>
  <si>
    <t>Wharton</t>
  </si>
  <si>
    <t>Webb</t>
  </si>
  <si>
    <t>Washington</t>
  </si>
  <si>
    <t>Ward</t>
  </si>
  <si>
    <t>Waller</t>
  </si>
  <si>
    <t>Walker</t>
  </si>
  <si>
    <t>Victoria</t>
  </si>
  <si>
    <t>Van Zandt</t>
  </si>
  <si>
    <t>Val Verde</t>
  </si>
  <si>
    <t>Uvalde</t>
  </si>
  <si>
    <t>Upton</t>
  </si>
  <si>
    <t>Upshur</t>
  </si>
  <si>
    <t>Tyler</t>
  </si>
  <si>
    <t>Trinity</t>
  </si>
  <si>
    <t>Travis</t>
  </si>
  <si>
    <t>Tom Green</t>
  </si>
  <si>
    <t>Titus</t>
  </si>
  <si>
    <t>Throckmorton</t>
  </si>
  <si>
    <t>Terry</t>
  </si>
  <si>
    <t>Terrell</t>
  </si>
  <si>
    <t>Taylor</t>
  </si>
  <si>
    <t>Tarrant</t>
  </si>
  <si>
    <t>Swisher</t>
  </si>
  <si>
    <t>Sutton</t>
  </si>
  <si>
    <t>Stonewall</t>
  </si>
  <si>
    <t>Sterling</t>
  </si>
  <si>
    <t>Stephens</t>
  </si>
  <si>
    <t>Starr</t>
  </si>
  <si>
    <t>Somervell</t>
  </si>
  <si>
    <t>Smith</t>
  </si>
  <si>
    <t>Sherman</t>
  </si>
  <si>
    <t>Shelby</t>
  </si>
  <si>
    <t>Shackelford</t>
  </si>
  <si>
    <t>Scurry</t>
  </si>
  <si>
    <t>Schleicher</t>
  </si>
  <si>
    <t>San Saba</t>
  </si>
  <si>
    <t>San Patricio</t>
  </si>
  <si>
    <t>San Jacinto</t>
  </si>
  <si>
    <t>San Augustine</t>
  </si>
  <si>
    <t>Sabine</t>
  </si>
  <si>
    <t>Rusk</t>
  </si>
  <si>
    <t>Runnels</t>
  </si>
  <si>
    <t>Rockwall</t>
  </si>
  <si>
    <t>Robertson</t>
  </si>
  <si>
    <t>Roberts</t>
  </si>
  <si>
    <t>Refugio</t>
  </si>
  <si>
    <t>Reeves</t>
  </si>
  <si>
    <t>Red River</t>
  </si>
  <si>
    <t>Real</t>
  </si>
  <si>
    <t>Reagan</t>
  </si>
  <si>
    <t>Randall</t>
  </si>
  <si>
    <t>Rains</t>
  </si>
  <si>
    <t>Presidio</t>
  </si>
  <si>
    <t>Potter</t>
  </si>
  <si>
    <t>Polk</t>
  </si>
  <si>
    <t>Pecos</t>
  </si>
  <si>
    <t>Parmer</t>
  </si>
  <si>
    <t>Parker</t>
  </si>
  <si>
    <t>Panola</t>
  </si>
  <si>
    <t>Palo Pinto</t>
  </si>
  <si>
    <t>Orange</t>
  </si>
  <si>
    <t>Oldham</t>
  </si>
  <si>
    <t>Ochiltree</t>
  </si>
  <si>
    <t>Nueces</t>
  </si>
  <si>
    <t>Nolan</t>
  </si>
  <si>
    <t>Newton</t>
  </si>
  <si>
    <t>Navarro</t>
  </si>
  <si>
    <t>Nacogdoches</t>
  </si>
  <si>
    <t>Motley</t>
  </si>
  <si>
    <t>Morris</t>
  </si>
  <si>
    <t>Moore</t>
  </si>
  <si>
    <t>Montgomery</t>
  </si>
  <si>
    <t>Montague</t>
  </si>
  <si>
    <t>Mitchell</t>
  </si>
  <si>
    <t>Mills</t>
  </si>
  <si>
    <t>Milam</t>
  </si>
  <si>
    <t>Midland</t>
  </si>
  <si>
    <t>Menard</t>
  </si>
  <si>
    <t>Medina</t>
  </si>
  <si>
    <t>Maverick</t>
  </si>
  <si>
    <t>Matagorda</t>
  </si>
  <si>
    <t>Mason</t>
  </si>
  <si>
    <t>Martin</t>
  </si>
  <si>
    <t>Marion</t>
  </si>
  <si>
    <t>Madison</t>
  </si>
  <si>
    <t>McMullen</t>
  </si>
  <si>
    <t>McLennan</t>
  </si>
  <si>
    <t>McCulloch</t>
  </si>
  <si>
    <t>Lynn</t>
  </si>
  <si>
    <t>Lubbock</t>
  </si>
  <si>
    <t>Loving</t>
  </si>
  <si>
    <t>Llano</t>
  </si>
  <si>
    <t>Live Oak</t>
  </si>
  <si>
    <t>Lipscomb</t>
  </si>
  <si>
    <t>Liberty</t>
  </si>
  <si>
    <t>Leon</t>
  </si>
  <si>
    <t>Lee</t>
  </si>
  <si>
    <t>Lavaca</t>
  </si>
  <si>
    <t>La Salle</t>
  </si>
  <si>
    <t>Lampasas</t>
  </si>
  <si>
    <t>Lamb</t>
  </si>
  <si>
    <t>Lamar</t>
  </si>
  <si>
    <t>Knox</t>
  </si>
  <si>
    <t>Kleberg</t>
  </si>
  <si>
    <t>Kinney</t>
  </si>
  <si>
    <t>King</t>
  </si>
  <si>
    <t>Kimble</t>
  </si>
  <si>
    <t>Kerr</t>
  </si>
  <si>
    <t>Kent</t>
  </si>
  <si>
    <t>Kenedy</t>
  </si>
  <si>
    <t>Kendall</t>
  </si>
  <si>
    <t>Kaufman</t>
  </si>
  <si>
    <t>Karnes</t>
  </si>
  <si>
    <t>Jones</t>
  </si>
  <si>
    <t>Johnson</t>
  </si>
  <si>
    <t>Jim Wells</t>
  </si>
  <si>
    <t>Jim Hogg</t>
  </si>
  <si>
    <t>Jefferson</t>
  </si>
  <si>
    <t>Jeff Davis</t>
  </si>
  <si>
    <t>Jasper</t>
  </si>
  <si>
    <t>Jackson</t>
  </si>
  <si>
    <t>Jack</t>
  </si>
  <si>
    <t>Irion</t>
  </si>
  <si>
    <t>Hutchinson</t>
  </si>
  <si>
    <t>Hunt</t>
  </si>
  <si>
    <t>Hudspeth</t>
  </si>
  <si>
    <t>Howard</t>
  </si>
  <si>
    <t>Houston</t>
  </si>
  <si>
    <t>Hopkins</t>
  </si>
  <si>
    <t>Hood</t>
  </si>
  <si>
    <t>Hockley</t>
  </si>
  <si>
    <t>Hill</t>
  </si>
  <si>
    <t>Hidalgo</t>
  </si>
  <si>
    <t>Henderson</t>
  </si>
  <si>
    <t>Hemphill</t>
  </si>
  <si>
    <t>Hays</t>
  </si>
  <si>
    <t>Haskell</t>
  </si>
  <si>
    <t>Hartley</t>
  </si>
  <si>
    <t>Harrison</t>
  </si>
  <si>
    <t>Hardin</t>
  </si>
  <si>
    <t>Hardeman</t>
  </si>
  <si>
    <t>Hansford</t>
  </si>
  <si>
    <t>Hamilton</t>
  </si>
  <si>
    <t>Hall</t>
  </si>
  <si>
    <t>Hale</t>
  </si>
  <si>
    <t>Guadalupe</t>
  </si>
  <si>
    <t>Grimes</t>
  </si>
  <si>
    <t>Gregg</t>
  </si>
  <si>
    <t>Grayson</t>
  </si>
  <si>
    <t>Gray</t>
  </si>
  <si>
    <t>Gonzales</t>
  </si>
  <si>
    <t>Goliad</t>
  </si>
  <si>
    <t>Glasscock</t>
  </si>
  <si>
    <t>Gillespie</t>
  </si>
  <si>
    <t>Garza</t>
  </si>
  <si>
    <t>Galveston</t>
  </si>
  <si>
    <t>Gaines</t>
  </si>
  <si>
    <t>Frio</t>
  </si>
  <si>
    <t>Freestone</t>
  </si>
  <si>
    <t>Franklin</t>
  </si>
  <si>
    <t>Fort Bend</t>
  </si>
  <si>
    <t>Foard</t>
  </si>
  <si>
    <t>Floyd</t>
  </si>
  <si>
    <t>Fisher</t>
  </si>
  <si>
    <t>Fayette</t>
  </si>
  <si>
    <t>Fannin</t>
  </si>
  <si>
    <t>Falls</t>
  </si>
  <si>
    <t>Erath</t>
  </si>
  <si>
    <t>El Paso</t>
  </si>
  <si>
    <t>Ellis</t>
  </si>
  <si>
    <t>Edwards</t>
  </si>
  <si>
    <t>Ector</t>
  </si>
  <si>
    <t>Eastland</t>
  </si>
  <si>
    <t>Duval</t>
  </si>
  <si>
    <t>Donley</t>
  </si>
  <si>
    <t>Dimmit</t>
  </si>
  <si>
    <t>Dickens</t>
  </si>
  <si>
    <t>DeWitt</t>
  </si>
  <si>
    <t>Denton</t>
  </si>
  <si>
    <t>Delta</t>
  </si>
  <si>
    <t>Deaf Smith</t>
  </si>
  <si>
    <t>Dawson</t>
  </si>
  <si>
    <t>Dallas</t>
  </si>
  <si>
    <t>Dallam</t>
  </si>
  <si>
    <t>Culberson</t>
  </si>
  <si>
    <t>Crosby</t>
  </si>
  <si>
    <t>Crockett</t>
  </si>
  <si>
    <t>Crane</t>
  </si>
  <si>
    <t>Cottle</t>
  </si>
  <si>
    <t>Coryell</t>
  </si>
  <si>
    <t>Cooke</t>
  </si>
  <si>
    <t>Concho</t>
  </si>
  <si>
    <t>Comanche</t>
  </si>
  <si>
    <t>Comal</t>
  </si>
  <si>
    <t>Colorado</t>
  </si>
  <si>
    <t>Collingsworth</t>
  </si>
  <si>
    <t>Collin</t>
  </si>
  <si>
    <t>Coleman</t>
  </si>
  <si>
    <t>Coke</t>
  </si>
  <si>
    <t>Cochran</t>
  </si>
  <si>
    <t>Childress</t>
  </si>
  <si>
    <t>Cherokee</t>
  </si>
  <si>
    <t>Chambers</t>
  </si>
  <si>
    <t>Nonattainment?</t>
  </si>
  <si>
    <t>Castro</t>
  </si>
  <si>
    <t>Cass</t>
  </si>
  <si>
    <t>From General Sheet</t>
  </si>
  <si>
    <t>Carson</t>
  </si>
  <si>
    <t>Camp</t>
  </si>
  <si>
    <t>Cameron</t>
  </si>
  <si>
    <t>Callahan</t>
  </si>
  <si>
    <t>Calhoun</t>
  </si>
  <si>
    <t>Severe</t>
  </si>
  <si>
    <t>ozone</t>
  </si>
  <si>
    <t>Caldwell</t>
  </si>
  <si>
    <t>Taconite ore processing plants</t>
  </si>
  <si>
    <t>Burnet</t>
  </si>
  <si>
    <t>Sulfur recovery plants</t>
  </si>
  <si>
    <r>
      <t>SO</t>
    </r>
    <r>
      <rPr>
        <vertAlign val="subscript"/>
        <sz val="11"/>
        <color theme="1"/>
        <rFont val="Arial"/>
        <family val="2"/>
      </rPr>
      <t>2</t>
    </r>
  </si>
  <si>
    <t>Burleson</t>
  </si>
  <si>
    <t>Sintering plants</t>
  </si>
  <si>
    <t>Brown</t>
  </si>
  <si>
    <t>Secondary metal production plants</t>
  </si>
  <si>
    <t>Brooks</t>
  </si>
  <si>
    <t>Primary zinc smelters</t>
  </si>
  <si>
    <t>Briscoe</t>
  </si>
  <si>
    <t>Primary lead smelters</t>
  </si>
  <si>
    <t>Brewster</t>
  </si>
  <si>
    <t>Primary copper smelters</t>
  </si>
  <si>
    <t>Brazos</t>
  </si>
  <si>
    <t>Primary aluminum ore reduction plants</t>
  </si>
  <si>
    <t>Brazoria</t>
  </si>
  <si>
    <t>Portland cement plants</t>
  </si>
  <si>
    <t>Bowie</t>
  </si>
  <si>
    <t>Phosphate rock processing plants</t>
  </si>
  <si>
    <t>Bosque</t>
  </si>
  <si>
    <t>Petroleum storage and transfer units with total storage capacity above 300,000 barrels</t>
  </si>
  <si>
    <t>Borden</t>
  </si>
  <si>
    <t>Petroleum refineries</t>
  </si>
  <si>
    <t>Blanco</t>
  </si>
  <si>
    <t>Municipal incinerators capable of charging more than 250 tons of refuse per day</t>
  </si>
  <si>
    <t>Bexar</t>
  </si>
  <si>
    <t>Lime plants</t>
  </si>
  <si>
    <t>Bell</t>
  </si>
  <si>
    <t>Kraft pulp mills</t>
  </si>
  <si>
    <t>Bee</t>
  </si>
  <si>
    <t>Iron and steel mills</t>
  </si>
  <si>
    <t>Baylor</t>
  </si>
  <si>
    <t>Hydrofluoric, sulfuric, or nitric acid plants</t>
  </si>
  <si>
    <t>Bastrop</t>
  </si>
  <si>
    <t>Glass fiber processing plants</t>
  </si>
  <si>
    <t>Bandera</t>
  </si>
  <si>
    <t>Fuel conversion plants</t>
  </si>
  <si>
    <t>Bailey</t>
  </si>
  <si>
    <t>Fossil-fuel boilers (or combinations) totaling &gt; 250 million BTUs per hour heat input</t>
  </si>
  <si>
    <t xml:space="preserve">Moderate </t>
  </si>
  <si>
    <t>Fossil fuel-fired steam electric plants &gt; 250 million BTUs per hour heat input</t>
  </si>
  <si>
    <t>Atascosa</t>
  </si>
  <si>
    <t>Coke oven batteries</t>
  </si>
  <si>
    <t>Armstrong</t>
  </si>
  <si>
    <t>Coal cleaning plants (with thermal dryers)</t>
  </si>
  <si>
    <t>Archer</t>
  </si>
  <si>
    <t>Chemical process plants (other than ethanol by fermentation)</t>
  </si>
  <si>
    <t>Aransas</t>
  </si>
  <si>
    <t>Charcoal production plants</t>
  </si>
  <si>
    <t>Angelina</t>
  </si>
  <si>
    <t>Carbon black plants (furnace process)</t>
  </si>
  <si>
    <t>Andrews</t>
  </si>
  <si>
    <t>Other/Not Listed</t>
  </si>
  <si>
    <t>Anderson</t>
  </si>
  <si>
    <t>Named Sources</t>
  </si>
  <si>
    <t>Part of county in nonattainment?</t>
  </si>
  <si>
    <t>Classification</t>
  </si>
  <si>
    <t>Value</t>
  </si>
  <si>
    <t>NA Counties</t>
  </si>
  <si>
    <t>NA Threshold PM10 (TPY)</t>
  </si>
  <si>
    <t>NA Threshold NOX and VOC (TPY)</t>
  </si>
  <si>
    <t>Title V Threshold (TPY)</t>
  </si>
  <si>
    <t>Counties</t>
  </si>
  <si>
    <t>https://www.federalregister.gov/documents/2022/10/07/2022-20458/determinations-of-attainment-by-the-attainment-date-extensions-of-the-attainment-date-and</t>
  </si>
  <si>
    <t>https://www.federalregister.gov/documents/2022/10/07/2022-20460/determinations-of-attainment-by-the-attainment-date-extensions-of-the-attainment-date-and</t>
  </si>
  <si>
    <t>&lt;linked to Fed applicability</t>
  </si>
  <si>
    <t>November 4, 2022</t>
  </si>
  <si>
    <t>Last Updated:</t>
  </si>
  <si>
    <t>§106.148</t>
  </si>
  <si>
    <t>§106.149</t>
  </si>
  <si>
    <t>§106.150</t>
  </si>
  <si>
    <t>§106.146</t>
  </si>
  <si>
    <t>§106.145</t>
  </si>
  <si>
    <t>§106.144</t>
  </si>
  <si>
    <t>§106.143</t>
  </si>
  <si>
    <t>§106.141</t>
  </si>
  <si>
    <t xml:space="preserve"> - Batch Mixers</t>
  </si>
  <si>
    <t xml:space="preserve"> - Wet Sand and Gravel Production Facility</t>
  </si>
  <si>
    <t xml:space="preserve"> - Bulk mineral handling</t>
  </si>
  <si>
    <t xml:space="preserve"> - Oil wells servicing bulk sand handling facilities</t>
  </si>
  <si>
    <t xml:space="preserve"> - Soil stabilization</t>
  </si>
  <si>
    <t xml:space="preserve"> - Railcar or truck unloading</t>
  </si>
  <si>
    <t xml:space="preserve"> - Sand and gravel production</t>
  </si>
  <si>
    <t xml:space="preserve"> - Asphalt silos</t>
  </si>
  <si>
    <t>Use filter to select appliable rule(s)</t>
  </si>
  <si>
    <t>epn counter</t>
  </si>
  <si>
    <t>EPN COUNTER</t>
  </si>
  <si>
    <t xml:space="preserve">NOTE: This table is used in the Emission Summary Tab.  Has an EPN Counter row that keeps track data if the EPN is populated and gives it a counter # starting from the Mat Handle - Vol Displacement - Drop - Stockpiles and ending in Silo Filling tab.   </t>
  </si>
  <si>
    <t>Volume Displacement</t>
  </si>
  <si>
    <t>Stockpiles</t>
  </si>
  <si>
    <r>
      <t>PM</t>
    </r>
    <r>
      <rPr>
        <b/>
        <vertAlign val="subscript"/>
        <sz val="11"/>
        <color theme="1"/>
        <rFont val="Arial"/>
        <family val="2"/>
      </rPr>
      <t>10</t>
    </r>
    <r>
      <rPr>
        <b/>
        <sz val="11"/>
        <color theme="1"/>
        <rFont val="Arial"/>
        <family val="2"/>
      </rPr>
      <t xml:space="preserve"> (lb/hr)</t>
    </r>
  </si>
  <si>
    <r>
      <t>PM</t>
    </r>
    <r>
      <rPr>
        <b/>
        <vertAlign val="subscript"/>
        <sz val="11"/>
        <color theme="1"/>
        <rFont val="Arial"/>
        <family val="2"/>
      </rPr>
      <t>10</t>
    </r>
    <r>
      <rPr>
        <b/>
        <sz val="11"/>
        <color theme="1"/>
        <rFont val="Arial"/>
        <family val="2"/>
      </rPr>
      <t xml:space="preserve"> (tpy)</t>
    </r>
  </si>
  <si>
    <r>
      <t>PM</t>
    </r>
    <r>
      <rPr>
        <b/>
        <vertAlign val="subscript"/>
        <sz val="11"/>
        <color theme="1"/>
        <rFont val="Arial"/>
        <family val="2"/>
      </rPr>
      <t>2.5</t>
    </r>
    <r>
      <rPr>
        <b/>
        <sz val="11"/>
        <color theme="1"/>
        <rFont val="Arial"/>
        <family val="2"/>
      </rPr>
      <t xml:space="preserve"> (lb/hr)</t>
    </r>
  </si>
  <si>
    <r>
      <t>PM</t>
    </r>
    <r>
      <rPr>
        <b/>
        <vertAlign val="subscript"/>
        <sz val="11"/>
        <color theme="1"/>
        <rFont val="Arial"/>
        <family val="2"/>
      </rPr>
      <t>2.5</t>
    </r>
    <r>
      <rPr>
        <b/>
        <sz val="11"/>
        <color theme="1"/>
        <rFont val="Arial"/>
        <family val="2"/>
      </rPr>
      <t xml:space="preserve"> (tpy)</t>
    </r>
  </si>
  <si>
    <r>
      <t>PM</t>
    </r>
    <r>
      <rPr>
        <vertAlign val="subscript"/>
        <sz val="11"/>
        <color theme="1"/>
        <rFont val="Arial"/>
        <family val="2"/>
      </rPr>
      <t>10</t>
    </r>
    <r>
      <rPr>
        <sz val="11"/>
        <color theme="1"/>
        <rFont val="Arial"/>
        <family val="2"/>
      </rPr>
      <t xml:space="preserve"> hourly emissions</t>
    </r>
  </si>
  <si>
    <r>
      <t>PM</t>
    </r>
    <r>
      <rPr>
        <vertAlign val="subscript"/>
        <sz val="11"/>
        <color theme="1"/>
        <rFont val="Arial"/>
        <family val="2"/>
      </rPr>
      <t>10</t>
    </r>
    <r>
      <rPr>
        <sz val="11"/>
        <color theme="1"/>
        <rFont val="Arial"/>
        <family val="2"/>
      </rPr>
      <t xml:space="preserve"> annual emissions</t>
    </r>
  </si>
  <si>
    <t xml:space="preserve">For additional assistance with your application, including resources to help calculate your emissions, please visit the Small Business and Local Government Assistance (SBLGA) web page at the following link: </t>
  </si>
  <si>
    <t>https://www.epa.gov/sites/default/files/2020-10/documents/13.2.4_aggregate_handling_and_storage_piles.pdf</t>
  </si>
  <si>
    <t>50-85%</t>
  </si>
  <si>
    <t xml:space="preserve">Specified control % </t>
  </si>
  <si>
    <t xml:space="preserve">This sheet details material handling specifications and calculates emission rates. 
</t>
  </si>
  <si>
    <t>https://www3.epa.gov/ttnchie1/ap42/ch11/final/c11s1902.pdf</t>
  </si>
  <si>
    <t>Total</t>
  </si>
  <si>
    <t>added to address new tech or methods</t>
  </si>
  <si>
    <t>Code Notes</t>
  </si>
  <si>
    <t>code note</t>
  </si>
  <si>
    <t>instead of "manufacturer Rating" to encompase other methods and tech</t>
  </si>
  <si>
    <t xml:space="preserve">Default control % </t>
  </si>
  <si>
    <t>Alternative Control Method*</t>
  </si>
  <si>
    <t>Source: emiss-calc-rock1</t>
  </si>
  <si>
    <t>Drop down list for [Material Handling] sheet</t>
  </si>
  <si>
    <t xml:space="preserve"> "Default control % " [Material Handling] sheet</t>
  </si>
  <si>
    <t>FOR [Material Handling] sheet</t>
  </si>
  <si>
    <t xml:space="preserve">*If an enclosure or alternative control method is claimed, the applicant must provide a description and/or drawing of the enclosure.  </t>
  </si>
  <si>
    <t>Drop down list for Calc sheets</t>
  </si>
  <si>
    <t>code nodes</t>
  </si>
  <si>
    <t>Manual Input</t>
  </si>
  <si>
    <t>Description</t>
  </si>
  <si>
    <t>See Response in STEERS</t>
  </si>
  <si>
    <t>Company name</t>
  </si>
  <si>
    <t>Site description</t>
  </si>
  <si>
    <t>Determination:</t>
  </si>
  <si>
    <t>Supplemental Information (Optional)</t>
  </si>
  <si>
    <t>Annual flow rate</t>
  </si>
  <si>
    <t>unit*/hr</t>
  </si>
  <si>
    <t>unit*/yr</t>
  </si>
  <si>
    <t>confirmation from mechanical that fines can be included</t>
  </si>
  <si>
    <t>[Material Handling] DDL</t>
  </si>
  <si>
    <t xml:space="preserve">Reference: AP-42 11.19.2 - Crushed Stone Processing and Pulverized Mineral Processing </t>
  </si>
  <si>
    <t>Unit*</t>
  </si>
  <si>
    <t>II. Project Information</t>
  </si>
  <si>
    <t>Enter the associated NSR permit(s):</t>
  </si>
  <si>
    <t>https://www.tceq.texas.gov/assistance</t>
  </si>
  <si>
    <t>Truck Unloading</t>
  </si>
  <si>
    <t>Truck Loading Conveyor</t>
  </si>
  <si>
    <t xml:space="preserve">shorten </t>
  </si>
  <si>
    <t>shorten so not to limit or confuse user of representations</t>
  </si>
  <si>
    <t>V. Stockpile</t>
  </si>
  <si>
    <t>Red CF</t>
  </si>
  <si>
    <t>Grey CF</t>
  </si>
  <si>
    <t>Enter an "X" to indicate if facilities will be authorized under the listed rule.</t>
  </si>
  <si>
    <t>II. § 106.143 PBR Checklist - Wet Sand and Gravel Production Facility</t>
  </si>
  <si>
    <t>Stockpile area</t>
  </si>
  <si>
    <t>Active days per year</t>
  </si>
  <si>
    <t>https://www3.epa.gov/ttnchie1/ap42/ch11/final/c11s01.pdf</t>
  </si>
  <si>
    <t>VOC (lb/hr)</t>
  </si>
  <si>
    <t>VOC (tpy)</t>
  </si>
  <si>
    <t>CO (lb/hr)</t>
  </si>
  <si>
    <t>CO (tpy)</t>
  </si>
  <si>
    <t>HC</t>
  </si>
  <si>
    <t>PM (tpy)</t>
  </si>
  <si>
    <t>CODE:</t>
  </si>
  <si>
    <t>COUNTER</t>
  </si>
  <si>
    <t>Material Handing Calculations</t>
  </si>
  <si>
    <t>CF Part Enclosure logic</t>
  </si>
  <si>
    <t>CF:</t>
  </si>
  <si>
    <r>
      <t>PM</t>
    </r>
    <r>
      <rPr>
        <vertAlign val="subscript"/>
        <sz val="11"/>
        <color theme="1"/>
        <rFont val="Arial"/>
        <family val="2"/>
      </rPr>
      <t>2.5</t>
    </r>
    <r>
      <rPr>
        <sz val="11"/>
        <color theme="1"/>
        <rFont val="Arial"/>
        <family val="2"/>
      </rPr>
      <t xml:space="preserve"> annual emissions</t>
    </r>
  </si>
  <si>
    <r>
      <t>PM</t>
    </r>
    <r>
      <rPr>
        <vertAlign val="subscript"/>
        <sz val="11"/>
        <rFont val="Arial"/>
        <family val="2"/>
      </rPr>
      <t>10</t>
    </r>
    <r>
      <rPr>
        <sz val="11"/>
        <rFont val="Arial"/>
        <family val="2"/>
      </rPr>
      <t xml:space="preserve"> active emission factor</t>
    </r>
  </si>
  <si>
    <r>
      <t>PM</t>
    </r>
    <r>
      <rPr>
        <vertAlign val="subscript"/>
        <sz val="11"/>
        <rFont val="Arial"/>
        <family val="2"/>
      </rPr>
      <t xml:space="preserve">10 </t>
    </r>
    <r>
      <rPr>
        <sz val="11"/>
        <rFont val="Arial"/>
        <family val="2"/>
      </rPr>
      <t>inactive emission factor</t>
    </r>
  </si>
  <si>
    <r>
      <t>PM</t>
    </r>
    <r>
      <rPr>
        <vertAlign val="subscript"/>
        <sz val="11"/>
        <color theme="1"/>
        <rFont val="Arial"/>
        <family val="2"/>
      </rPr>
      <t>2.5</t>
    </r>
    <r>
      <rPr>
        <sz val="11"/>
        <color theme="1"/>
        <rFont val="Arial"/>
        <family val="2"/>
      </rPr>
      <t xml:space="preserve"> inactive emissions</t>
    </r>
  </si>
  <si>
    <t>Applicant Internal Comments</t>
  </si>
  <si>
    <t>Reference: TCEQ Sample Emission Calculations For Dry Bulk Fertilizer Handling Operations</t>
  </si>
  <si>
    <t>Checklist</t>
  </si>
  <si>
    <t>CF Specified control logic</t>
  </si>
  <si>
    <t>Volumetric Displacement Calculations (gr/dscf)</t>
  </si>
  <si>
    <t>&lt;-Unhide columns if additional sources are needed</t>
  </si>
  <si>
    <t>Alternative Emission Summary Table</t>
  </si>
  <si>
    <t>Emission Summary Table</t>
  </si>
  <si>
    <t>Bulk sand handling</t>
  </si>
  <si>
    <t>Soil stabilization plants</t>
  </si>
  <si>
    <t>Sand and gravel processing</t>
  </si>
  <si>
    <t>Material unloading</t>
  </si>
  <si>
    <r>
      <rPr>
        <i/>
        <sz val="11"/>
        <color theme="1"/>
        <rFont val="Arial"/>
        <family val="2"/>
      </rPr>
      <t>(Click to jump to specific worksheet)</t>
    </r>
    <r>
      <rPr>
        <sz val="11"/>
        <color theme="1"/>
        <rFont val="Arial"/>
        <family val="2"/>
      </rPr>
      <t>:</t>
    </r>
  </si>
  <si>
    <t>Meteorology</t>
  </si>
  <si>
    <t xml:space="preserve">Nearest city </t>
  </si>
  <si>
    <t>Drop Calculation</t>
  </si>
  <si>
    <t>Justification</t>
  </si>
  <si>
    <t>Material Stockpiles</t>
  </si>
  <si>
    <t>PM10 Hourly Emissions</t>
  </si>
  <si>
    <t>PM2.5 Hourly Emissions</t>
  </si>
  <si>
    <r>
      <t>PM</t>
    </r>
    <r>
      <rPr>
        <vertAlign val="subscript"/>
        <sz val="11"/>
        <color theme="1"/>
        <rFont val="Arial"/>
        <family val="2"/>
      </rPr>
      <t xml:space="preserve">2.5 </t>
    </r>
    <r>
      <rPr>
        <sz val="11"/>
        <color theme="1"/>
        <rFont val="Arial"/>
        <family val="2"/>
      </rPr>
      <t>active emissions factor</t>
    </r>
  </si>
  <si>
    <t>Wet check</t>
  </si>
  <si>
    <t>Will an internal combustion engine be used to power the mixer?</t>
  </si>
  <si>
    <t>CF * logic</t>
  </si>
  <si>
    <t>Silo filling temperature**</t>
  </si>
  <si>
    <t>Loadout temperature**</t>
  </si>
  <si>
    <t>106.4 check</t>
  </si>
  <si>
    <t xml:space="preserve">Jett Koen, Crystal DelaCruz, John Ma, Britany Gilman; Michael Partee; Testers - Joshua, Chelsea, Jordyn, Sandra, </t>
  </si>
  <si>
    <t>1.0</t>
  </si>
  <si>
    <t>Wind speed</t>
  </si>
  <si>
    <t>ES check</t>
  </si>
  <si>
    <t>tons</t>
  </si>
  <si>
    <t>TCEQ - Sample Emission Calculations for Dry Bulk Fertilizer Handling (texas.gov)</t>
  </si>
  <si>
    <t>hourly rate is know to be 75 ton per hour - Hourly flow rate</t>
  </si>
  <si>
    <t>annual rate is known to be 12,000 ton per year - Annual usage</t>
  </si>
  <si>
    <t>Choke feed is stated to be under 90% emission reduction</t>
  </si>
  <si>
    <t>Emission rate stated to be 0.02 lbs (PM) per ton</t>
  </si>
  <si>
    <t>For the workbook:</t>
  </si>
  <si>
    <t>Worksheet</t>
  </si>
  <si>
    <t>VI. Asphalt Silo Filling and Truck Loadout</t>
  </si>
  <si>
    <r>
      <rPr>
        <b/>
        <sz val="11"/>
        <color theme="1"/>
        <rFont val="Arial"/>
        <family val="2"/>
      </rPr>
      <t>Example</t>
    </r>
    <r>
      <rPr>
        <sz val="11"/>
        <color theme="1"/>
        <rFont val="Arial"/>
        <family val="2"/>
      </rPr>
      <t xml:space="preserve">: </t>
    </r>
  </si>
  <si>
    <r>
      <rPr>
        <b/>
        <sz val="11"/>
        <color theme="1"/>
        <rFont val="Arial"/>
        <family val="2"/>
      </rPr>
      <t>tons</t>
    </r>
    <r>
      <rPr>
        <sz val="11"/>
        <color theme="1"/>
        <rFont val="Arial"/>
        <family val="2"/>
      </rPr>
      <t xml:space="preserve"> will be the </t>
    </r>
    <r>
      <rPr>
        <b/>
        <sz val="11"/>
        <color theme="1"/>
        <rFont val="Arial"/>
        <family val="2"/>
      </rPr>
      <t>Units*</t>
    </r>
  </si>
  <si>
    <r>
      <rPr>
        <b/>
        <sz val="11"/>
        <color theme="1"/>
        <rFont val="Arial"/>
        <family val="2"/>
      </rPr>
      <t>75</t>
    </r>
    <r>
      <rPr>
        <sz val="11"/>
        <color theme="1"/>
        <rFont val="Arial"/>
        <family val="2"/>
      </rPr>
      <t xml:space="preserve"> tons per hour is the </t>
    </r>
    <r>
      <rPr>
        <b/>
        <sz val="11"/>
        <color theme="1"/>
        <rFont val="Arial"/>
        <family val="2"/>
      </rPr>
      <t>Hourly flow rate</t>
    </r>
  </si>
  <si>
    <r>
      <rPr>
        <b/>
        <sz val="11"/>
        <color theme="1"/>
        <rFont val="Arial"/>
        <family val="2"/>
      </rPr>
      <t xml:space="preserve">12,000 </t>
    </r>
    <r>
      <rPr>
        <sz val="11"/>
        <color theme="1"/>
        <rFont val="Arial"/>
        <family val="2"/>
      </rPr>
      <t xml:space="preserve">tons per year is the </t>
    </r>
    <r>
      <rPr>
        <b/>
        <sz val="11"/>
        <color theme="1"/>
        <rFont val="Arial"/>
        <family val="2"/>
      </rPr>
      <t>Annual flow rate</t>
    </r>
  </si>
  <si>
    <r>
      <rPr>
        <b/>
        <sz val="11"/>
        <color theme="1"/>
        <rFont val="Arial"/>
        <family val="2"/>
      </rPr>
      <t>0.02 x (1-0.9)</t>
    </r>
    <r>
      <rPr>
        <sz val="11"/>
        <color theme="1"/>
        <rFont val="Arial"/>
        <family val="2"/>
      </rPr>
      <t xml:space="preserve"> is entered into the </t>
    </r>
    <r>
      <rPr>
        <b/>
        <sz val="11"/>
        <color theme="1"/>
        <rFont val="Arial"/>
        <family val="2"/>
      </rPr>
      <t xml:space="preserve">PM emission factor </t>
    </r>
    <r>
      <rPr>
        <sz val="11"/>
        <color theme="1"/>
        <rFont val="Arial"/>
        <family val="2"/>
      </rPr>
      <t>as the lb pm/unit* emission factor (lb pm/ton) is combined with the known control (90%)</t>
    </r>
  </si>
  <si>
    <t>Air Permits by Rule</t>
  </si>
  <si>
    <t>Control efficiency %</t>
  </si>
  <si>
    <t>Rule Number</t>
  </si>
  <si>
    <t>Authorizing rule number</t>
  </si>
  <si>
    <t xml:space="preserve">Check our website to be sure this is the latest version of the workbook for all the features and accurate information. Also, complete the workbook in the order of the worksheets and confirm that all applicable input cells are filled out. </t>
  </si>
  <si>
    <t>Emission calculations for units such as baghouses and dust collectors. Calculations based on volumetric displacement in grains per dry standard cubic feet and emission factors.</t>
  </si>
  <si>
    <t>Is all supporting documentation attached?</t>
  </si>
  <si>
    <t>Supporting documentation attached?</t>
  </si>
  <si>
    <t xml:space="preserve">This sheet details active and inactive stockpile representations and calculates emission rates. 
</t>
  </si>
  <si>
    <t>Drop down list for Control-Alt Units*</t>
  </si>
  <si>
    <t>lbs</t>
  </si>
  <si>
    <t>kgs</t>
  </si>
  <si>
    <t>scf</t>
  </si>
  <si>
    <t>ft</t>
  </si>
  <si>
    <t>yd</t>
  </si>
  <si>
    <t>cubic yd</t>
  </si>
  <si>
    <t>cubic meter</t>
  </si>
  <si>
    <t>hour</t>
  </si>
  <si>
    <t>day</t>
  </si>
  <si>
    <t>year</t>
  </si>
  <si>
    <t>week</t>
  </si>
  <si>
    <t>month</t>
  </si>
  <si>
    <t>III. Control - Grains per dscf Conversion</t>
  </si>
  <si>
    <t>IV. Control - Alternative User Specified Conversion</t>
  </si>
  <si>
    <t xml:space="preserve">Select rule(s) used below. Checklist input is required for rules §106.141 and §106.148. Other rules are addressed in STEERS, but copies of the requirements are included below. </t>
  </si>
  <si>
    <t>AP-42, Table 11.19.1-1: (Metric and English Units). EMISSION FACTORS FOR INDUSTRIAL SAND AND GRAVEL PROCESSING (11/95)</t>
  </si>
  <si>
    <t>AP-42, Table 11.19.2-2: (English Units). EMISSION FACTORS FOR CRUSHED STONE PROCESSING OPERATIONS (lb/Ton) (08/04)</t>
  </si>
  <si>
    <t xml:space="preserve">This sheet details silo filling and truck loadout for asphalt concrete storage specifications and calculates emission rates. This calculation method is applicable for §106.150.
</t>
  </si>
  <si>
    <t>Example 1- RailCar Receiving Operations</t>
  </si>
  <si>
    <t>Emission calculations for dropping material, based off AP-42 Section 13.2.4. The following conditions must be met:
- wind speed is less than 1.5 mph or greater than 15 mph
- moisture content is less than 0.25% or greater than 4.8% 
- silt content between 0.44% to 19.0%</t>
  </si>
  <si>
    <t>Alternative control method*</t>
  </si>
  <si>
    <t>The Unit* row is where the applicant will define the base unit for the calculation for each source. This must be defined for each column and must correspond with each Emission factor.</t>
  </si>
  <si>
    <r>
      <rPr>
        <b/>
        <sz val="11"/>
        <color theme="1"/>
        <rFont val="Arial"/>
        <family val="2"/>
      </rPr>
      <t>Yes</t>
    </r>
    <r>
      <rPr>
        <sz val="11"/>
        <color theme="1"/>
        <rFont val="Arial"/>
        <family val="2"/>
      </rPr>
      <t xml:space="preserve"> is selected in </t>
    </r>
    <r>
      <rPr>
        <b/>
        <sz val="11"/>
        <color theme="1"/>
        <rFont val="Arial"/>
        <family val="2"/>
      </rPr>
      <t>Supporting documentation attached</t>
    </r>
    <r>
      <rPr>
        <sz val="11"/>
        <color theme="1"/>
        <rFont val="Arial"/>
        <family val="2"/>
      </rPr>
      <t>* to indicate relevant documentation supporting the emission factor and controls are included in an attachment to the application</t>
    </r>
  </si>
  <si>
    <t>user-defined</t>
  </si>
  <si>
    <t>Volumetric and/or Mass Displacement Calculations (user-defined units and emission factor )</t>
  </si>
  <si>
    <t xml:space="preserve">Is the unloaded material wet sand, gravel, aggregate, coal, lignite, and scrap iron or scrap steel (but not including metal ores, metal oxides, battery parts, or fine dry materials)? </t>
  </si>
  <si>
    <t xml:space="preserve">Is the material unloaded from railcar or truck into trucks or other railcars for transportation to other locations? </t>
  </si>
  <si>
    <t>Will water sprays or the equivalent be installed and used as necessary at material handling operations to achieve maximum control of dust emissions?</t>
  </si>
  <si>
    <t xml:space="preserve">Will all permanent in-plant roads and vehicle work areas be watered, treated with dust-suppressant chemicals, oiled, or paved and cleaned as necessary to achieve maximum control of dust emissions? </t>
  </si>
  <si>
    <t>This sheet is for controls such as baghouses and dust collectors, that apply emission factors in grains per dry standard cubic feet (dscf).</t>
  </si>
  <si>
    <t>lb PM/unit*</t>
  </si>
  <si>
    <r>
      <t>lb PM</t>
    </r>
    <r>
      <rPr>
        <vertAlign val="subscript"/>
        <sz val="11"/>
        <color theme="1"/>
        <rFont val="Arial"/>
        <family val="2"/>
      </rPr>
      <t>10</t>
    </r>
    <r>
      <rPr>
        <sz val="11"/>
        <color theme="1"/>
        <rFont val="Arial"/>
        <family val="2"/>
      </rPr>
      <t xml:space="preserve"> /unit*</t>
    </r>
  </si>
  <si>
    <r>
      <t>lb PM</t>
    </r>
    <r>
      <rPr>
        <vertAlign val="subscript"/>
        <sz val="11"/>
        <color theme="1"/>
        <rFont val="Arial"/>
        <family val="2"/>
      </rPr>
      <t>2.5</t>
    </r>
    <r>
      <rPr>
        <sz val="11"/>
        <color theme="1"/>
        <rFont val="Arial"/>
        <family val="2"/>
      </rPr>
      <t xml:space="preserve"> /unit*</t>
    </r>
  </si>
  <si>
    <t>gr PM/dscf</t>
  </si>
  <si>
    <r>
      <t>gr PM</t>
    </r>
    <r>
      <rPr>
        <vertAlign val="subscript"/>
        <sz val="11"/>
        <color theme="1"/>
        <rFont val="Arial"/>
        <family val="2"/>
      </rPr>
      <t>10</t>
    </r>
    <r>
      <rPr>
        <sz val="11"/>
        <color theme="1"/>
        <rFont val="Arial"/>
        <family val="2"/>
      </rPr>
      <t>/dscf</t>
    </r>
  </si>
  <si>
    <r>
      <t>gr PM</t>
    </r>
    <r>
      <rPr>
        <vertAlign val="subscript"/>
        <sz val="11"/>
        <color theme="1"/>
        <rFont val="Arial"/>
        <family val="2"/>
      </rPr>
      <t>2.5</t>
    </r>
    <r>
      <rPr>
        <sz val="11"/>
        <color theme="1"/>
        <rFont val="Arial"/>
        <family val="2"/>
      </rPr>
      <t>/dscf</t>
    </r>
  </si>
  <si>
    <t>This sheet is for alternative controls such as filters or blowers. The calculations are intended to be universal, where the user specifies the units, emission factor/conversions, but must provide justification.</t>
  </si>
  <si>
    <r>
      <rPr>
        <b/>
        <sz val="11"/>
        <color theme="1"/>
        <rFont val="Arial"/>
        <family val="2"/>
      </rPr>
      <t>Instructions:</t>
    </r>
    <r>
      <rPr>
        <sz val="11"/>
        <color theme="1"/>
        <rFont val="Arial"/>
        <family val="2"/>
      </rPr>
      <t xml:space="preserve">
1. Complete all applicable inputs below for the project.
2. Justification and supporting documentation is required if any </t>
    </r>
    <r>
      <rPr>
        <b/>
        <sz val="11"/>
        <color theme="1"/>
        <rFont val="Arial"/>
        <family val="2"/>
      </rPr>
      <t>Control efficiency %</t>
    </r>
    <r>
      <rPr>
        <sz val="11"/>
        <color theme="1"/>
        <rFont val="Arial"/>
        <family val="2"/>
      </rPr>
      <t xml:space="preserve"> is claimed.</t>
    </r>
  </si>
  <si>
    <t>Reference: AP-42 11.1.1 - Hot Mix Asphalt Plants</t>
  </si>
  <si>
    <t>Reference: AP-42 13.2.4 - Aggregate Handling And Storage Piles</t>
  </si>
  <si>
    <t>How to Filter the [Checklist] worksheet</t>
  </si>
  <si>
    <t>How to Unhide columns in the Material Handling worksheet</t>
  </si>
  <si>
    <t>This is an option for the Material Handling worksheet.
The Material Handling worksheet has 10 source Options visible for data entry. If addition sources need to be represented, the user unhides columns M to AH for up to additional 20 sources. If more than additional 20 are needed contact TCEQ or use multiple workbooks.</t>
  </si>
  <si>
    <t>Instructions:
- For the applicable worksheet, select the column header M, this will select the whole column M. 
- Hold shift and select the column header right next to M, which should be AH 
- Right click the highlighted columns and a right-click menu will appear.
- Left click the "Unhide" option at the very bottom and the other source options will be available.</t>
  </si>
  <si>
    <t>Example for Control-Alt worksheet: Tons</t>
  </si>
  <si>
    <t>The Control-Alt worksheet is intended to be flexible to use various control and emission scenarios where the applicant can define the units, emission factors, conversions, and control.</t>
  </si>
  <si>
    <t>This example is based off the reference :
"SAMPLE EMISSION CALCULATIONS FOR DRY BULK FERTILIZER HANDLING OPERATIONS" link below</t>
  </si>
  <si>
    <t xml:space="preserve"> PM emission factor</t>
  </si>
  <si>
    <t xml:space="preserve"> PM hourly Emissions</t>
  </si>
  <si>
    <t xml:space="preserve"> PM annual Emissions</t>
  </si>
  <si>
    <t xml:space="preserve"> CO emission factor</t>
  </si>
  <si>
    <t xml:space="preserve"> CO hourly emissions</t>
  </si>
  <si>
    <t xml:space="preserve"> CO annual emissions</t>
  </si>
  <si>
    <t xml:space="preserve"> VOC emission factor</t>
  </si>
  <si>
    <t xml:space="preserve"> VOC hourly emissions</t>
  </si>
  <si>
    <t xml:space="preserve"> VOC annual emissions</t>
  </si>
  <si>
    <t>https://www.tceq.texas.gov/permitting/air/permitbyrule/subchapter-e</t>
  </si>
  <si>
    <t xml:space="preserve">This sheet provides general rule information for Subchapter E : Aggregate and Pavement PBRs §106.141, §106.143, §106.144, §106.145, §106.146, §106.148, §106.149, and/or §106.150.
This sheet can accommodate multiple authorizations of the rules noted above. Projects authorizing other rules, outside of the rules noted above, must submit authorization for each applicable rule separately. 
</t>
  </si>
  <si>
    <t>Reference: A Guide to Obtaining Permits by Rule Authorizations in STEERS ePermits</t>
  </si>
  <si>
    <t xml:space="preserve">General project description. </t>
  </si>
  <si>
    <t xml:space="preserve">General process description. </t>
  </si>
  <si>
    <t>changes to Federal Applicablity - 3/30/23</t>
  </si>
  <si>
    <t>Any confidential information should be submitted as an attachment separate from the non-confidential attachment in the STEERS ePermits system. Mark any information related to secret or proprietary processes or methods of manufacture confidential if you do not want this information in the public file. All confidential information should be separated from the application and submitted as a separate file. Additional information regarding confidential information can be found at:</t>
  </si>
  <si>
    <t>1. Optional - to simplify the view of this sheet, applicants can use the filter in cell A12 to select the rule(s) that are appropriate in this registration. For guidance on how to use the filter see the Workbook Guidance sheet/tab.
2. Input responses for requested information for the relevant rule(s) in this registration.</t>
  </si>
  <si>
    <t>Source description</t>
  </si>
  <si>
    <t>Source Description</t>
  </si>
  <si>
    <t>Select Yes to use this auto-populating table as primary representation instead of the manually updated table in the 'Emission Summary - Alt' worksheet.</t>
  </si>
  <si>
    <t>Select Yes to use this manually updated table as primary representation instead of the self populating table in the 'Emission Summary' worksheet.</t>
  </si>
  <si>
    <r>
      <rPr>
        <b/>
        <sz val="11"/>
        <rFont val="Arial"/>
        <family val="2"/>
      </rPr>
      <t>Instructions:</t>
    </r>
    <r>
      <rPr>
        <sz val="11"/>
        <rFont val="Arial"/>
        <family val="2"/>
      </rPr>
      <t xml:space="preserve">
1. Review and determine whether the methodology in AP-42 11.19.2 (the 'Materal Handling' worksheet) or AP-42 13.2.4 (this worksheet) is more appropriate for each process.
2. Complete all applicable inputs below for the project.
3. For Emission control methods: Selections of Partial enclosures* or Alternative control methods* require a Specified control % entry. Justification and supporting documentation should be included with this application.
</t>
    </r>
  </si>
  <si>
    <t>II. Drop Point</t>
  </si>
  <si>
    <t>This sheet details drop point specifications and calculates emission rates for drop point emissions.
**Note: Emission calculations are based on the following ranges of source conditions as specified in AP-42 Section 13.2.4:
- wind speed is between 1.3 and 15 (miles per hour [mph])
- moisture content is between 0.25 and 4.8 (%)
-silt content is between 0.44 and 19 (%)</t>
  </si>
  <si>
    <r>
      <rPr>
        <b/>
        <sz val="11"/>
        <rFont val="Arial"/>
        <family val="2"/>
      </rPr>
      <t>Instructions:</t>
    </r>
    <r>
      <rPr>
        <sz val="11"/>
        <rFont val="Arial"/>
        <family val="2"/>
      </rPr>
      <t xml:space="preserve">
1. Review and determine whether the methodology in AP-42 11.19.2 (this worksheet) or AP-42 13.2.4 (the 'Drop Point' worksheet) is more appropriate for each process.
2. Complete all applicable inputs below for the project.
3. For Emission control methods: Selections of Partial enclosures* or Alternative control methods* require a Specified control % entry. Justification and supporting documentation should be included with this application.
4. Wet emission controls methods cannot be applied to Emission types that are also wet. 
5. For Emission types: Fine screens are defined as solids removal devices with openings of 1/4 inch (6 mm) or less in one dimension.
6. If more than 10 input Options are required, additional Options (11-30) columns from M-AH can be unhidden and used. For guidance on how to unhide columns, see the 'Workbook Guidance' sheet.</t>
    </r>
  </si>
  <si>
    <t>this is only an example</t>
  </si>
  <si>
    <t>See the 'Workbook Guidance' worksheet</t>
  </si>
  <si>
    <t>Example</t>
  </si>
  <si>
    <t>Will bulk material be stored on-site?</t>
  </si>
  <si>
    <t>Emission conversion calculations for alternative control equipment such as filter, blower, or user-defined. Calculations based on user defined units and emission factors.</t>
  </si>
  <si>
    <t>RAILCAR</t>
  </si>
  <si>
    <t>RECEIVE</t>
  </si>
  <si>
    <t>Workbook Guidance</t>
  </si>
  <si>
    <t>Guidance on how to use filters, unhide columns, and expanded example on how to use the 'Control - Alt' worksheets.</t>
  </si>
  <si>
    <t>Manually input emission summary table.</t>
  </si>
  <si>
    <t>Auto-populating emission summary table.</t>
  </si>
  <si>
    <t>Cover page.</t>
  </si>
  <si>
    <t>Emission calculations based on material handling inputs.</t>
  </si>
  <si>
    <t>Emission calculations for stockpiles.</t>
  </si>
  <si>
    <t>Emission calculations for asphalt silo refilling and truck loadout.</t>
  </si>
  <si>
    <t>General questions.</t>
  </si>
  <si>
    <r>
      <rPr>
        <b/>
        <sz val="11"/>
        <color theme="1"/>
        <rFont val="Arial"/>
        <family val="2"/>
      </rPr>
      <t xml:space="preserve">Instructions: </t>
    </r>
    <r>
      <rPr>
        <sz val="11"/>
        <color theme="1"/>
        <rFont val="Arial"/>
        <family val="2"/>
      </rPr>
      <t xml:space="preserve">
1. Fill out all input / yellow cells unless marked optional. 
2. An optional supplemental information field has been provided at the end of this worksheet. This field should be used for demonstration of rule or policy compliance.</t>
    </r>
  </si>
  <si>
    <t>With the exception of §106.141 “Will an internal combustion engine be used to power the mixer?” and §106.148 "Will bulk material be stored on-site?", answering “NO” to any of the following questions, your PBR claim may not meet all requirements. If you do not meet all the requirements, you may alter the project design or operation in such a way that all the requirements of the PBR are met. If you cannot comply with these requirements, see Types of New Source Review Authorizations for other options. The PBR forms, tables, checklists, and guidance documents are available from the Texas Commission on Environmental Quality (TCEQ), Air Permits Division web site at:</t>
  </si>
  <si>
    <t>Applicable for §106.141 and §106.148.</t>
  </si>
  <si>
    <t>§106.4 Limits</t>
  </si>
  <si>
    <t>Max hourly flow rate</t>
  </si>
  <si>
    <t>dscf per min</t>
  </si>
  <si>
    <t>Checklist sheet is required only for §106.141 and §106.148 authorizations. The requirements for the other aggregate rules will be answered in STEERS, but the questions have been included here for reference.
There is a filter option in cell A12, that is an optional tool to simplify the worksheet to show only applicable rules.</t>
  </si>
  <si>
    <t>Instructions:
- To use the filter, go to cell A12. 
- Left click the arrow icon and a box will appear with checkboxes of all the rule options.
- Update the checkboxes so only the applicable rules are selected and then select the "OK" button.
- The workbook will filter out the rules that have not been selected.
- Should the project require different rules during the process, return to the cell A12 and update the checkbox accordingly</t>
  </si>
  <si>
    <r>
      <rPr>
        <sz val="11"/>
        <color rgb="FF0000FF"/>
        <rFont val="Arial"/>
        <family val="2"/>
      </rPr>
      <t xml:space="preserve">           </t>
    </r>
    <r>
      <rPr>
        <u/>
        <sz val="11"/>
        <color rgb="FF0000FF"/>
        <rFont val="Arial"/>
        <family val="2"/>
      </rPr>
      <t>https://www.tceq.texas.gov/permitting/air/nav/air_reftablenewsource.html</t>
    </r>
  </si>
  <si>
    <t>Are there any non-Subchapter E Permits by Rule being included with this project?</t>
  </si>
  <si>
    <t>Aggregate Processing Operations Workbook</t>
  </si>
  <si>
    <t>https://www.tceq.texas.gov/permitting/air/guidance/authorize.html</t>
  </si>
  <si>
    <r>
      <rPr>
        <b/>
        <sz val="11"/>
        <rFont val="Arial"/>
        <family val="2"/>
      </rPr>
      <t>Instructions:</t>
    </r>
    <r>
      <rPr>
        <sz val="11"/>
        <rFont val="Arial"/>
        <family val="2"/>
      </rPr>
      <t xml:space="preserve">
1. Complete all applicable inputs below for the project.
2. For a detailed example and instruction on how to use this worksheet, refer to the "Example" Column below and the 'Workbook Guidance' worksheet.
     -If the desired unit is not included in the list, then select "user-defined" and include supporting documentation.
     -For the PM/PM</t>
    </r>
    <r>
      <rPr>
        <vertAlign val="subscript"/>
        <sz val="11"/>
        <rFont val="Arial"/>
        <family val="2"/>
      </rPr>
      <t>10</t>
    </r>
    <r>
      <rPr>
        <sz val="11"/>
        <rFont val="Arial"/>
        <family val="2"/>
      </rPr>
      <t>/PM</t>
    </r>
    <r>
      <rPr>
        <vertAlign val="subscript"/>
        <sz val="11"/>
        <rFont val="Arial"/>
        <family val="2"/>
      </rPr>
      <t>2.5</t>
    </r>
    <r>
      <rPr>
        <sz val="11"/>
        <rFont val="Arial"/>
        <family val="2"/>
      </rPr>
      <t xml:space="preserve"> emission factor: Provide the value in pounds PM/PM</t>
    </r>
    <r>
      <rPr>
        <vertAlign val="subscript"/>
        <sz val="11"/>
        <rFont val="Arial"/>
        <family val="2"/>
      </rPr>
      <t>10</t>
    </r>
    <r>
      <rPr>
        <sz val="11"/>
        <rFont val="Arial"/>
        <family val="2"/>
      </rPr>
      <t>/PM</t>
    </r>
    <r>
      <rPr>
        <vertAlign val="subscript"/>
        <sz val="11"/>
        <rFont val="Arial"/>
        <family val="2"/>
      </rPr>
      <t>2.5</t>
    </r>
    <r>
      <rPr>
        <sz val="11"/>
        <rFont val="Arial"/>
        <family val="2"/>
      </rPr>
      <t xml:space="preserve"> per Unit*, for example lb PM per ton. 
4. If PM</t>
    </r>
    <r>
      <rPr>
        <vertAlign val="subscript"/>
        <sz val="11"/>
        <rFont val="Arial"/>
        <family val="2"/>
      </rPr>
      <t>10</t>
    </r>
    <r>
      <rPr>
        <sz val="11"/>
        <rFont val="Arial"/>
        <family val="2"/>
      </rPr>
      <t xml:space="preserve"> and/or PM</t>
    </r>
    <r>
      <rPr>
        <vertAlign val="subscript"/>
        <sz val="11"/>
        <rFont val="Arial"/>
        <family val="2"/>
      </rPr>
      <t>2.5</t>
    </r>
    <r>
      <rPr>
        <sz val="11"/>
        <rFont val="Arial"/>
        <family val="2"/>
      </rPr>
      <t xml:space="preserve"> emissions are not applicable, leave those areas blank and provide justification.
5. Attach Table 11, Table 16, or equivalent(s) to the application if applicable. 
Reference: Links to the tables:</t>
    </r>
  </si>
  <si>
    <r>
      <rPr>
        <b/>
        <sz val="11"/>
        <rFont val="Arial"/>
        <family val="2"/>
      </rPr>
      <t>Instructions:</t>
    </r>
    <r>
      <rPr>
        <sz val="11"/>
        <rFont val="Arial"/>
        <family val="2"/>
      </rPr>
      <t xml:space="preserve">
1. Complete all applicable inputs below for the project.
2. For Max hourly flow rate: Provide most representative maximum achievable hourly emissions.
3. Input PM/PM</t>
    </r>
    <r>
      <rPr>
        <vertAlign val="subscript"/>
        <sz val="11"/>
        <rFont val="Arial"/>
        <family val="2"/>
      </rPr>
      <t>10</t>
    </r>
    <r>
      <rPr>
        <sz val="11"/>
        <rFont val="Arial"/>
        <family val="2"/>
      </rPr>
      <t>/PM</t>
    </r>
    <r>
      <rPr>
        <vertAlign val="subscript"/>
        <sz val="11"/>
        <rFont val="Arial"/>
        <family val="2"/>
      </rPr>
      <t>2.5</t>
    </r>
    <r>
      <rPr>
        <sz val="11"/>
        <rFont val="Arial"/>
        <family val="2"/>
      </rPr>
      <t xml:space="preserve"> emission factor where applicable.   
     - If there are no PM</t>
    </r>
    <r>
      <rPr>
        <vertAlign val="subscript"/>
        <sz val="11"/>
        <rFont val="Arial"/>
        <family val="2"/>
      </rPr>
      <t>10</t>
    </r>
    <r>
      <rPr>
        <sz val="11"/>
        <rFont val="Arial"/>
        <family val="2"/>
      </rPr>
      <t>/PM</t>
    </r>
    <r>
      <rPr>
        <vertAlign val="subscript"/>
        <sz val="11"/>
        <rFont val="Arial"/>
        <family val="2"/>
      </rPr>
      <t>2.5</t>
    </r>
    <r>
      <rPr>
        <sz val="11"/>
        <rFont val="Arial"/>
        <family val="2"/>
      </rPr>
      <t xml:space="preserve"> emissions, input 0 or leave the cell blank for the applicable emission factor(s), and attach supporting justification.
     - PM/PM</t>
    </r>
    <r>
      <rPr>
        <vertAlign val="subscript"/>
        <sz val="11"/>
        <rFont val="Arial"/>
        <family val="2"/>
      </rPr>
      <t>10</t>
    </r>
    <r>
      <rPr>
        <sz val="11"/>
        <rFont val="Arial"/>
        <family val="2"/>
      </rPr>
      <t>/PM</t>
    </r>
    <r>
      <rPr>
        <vertAlign val="subscript"/>
        <sz val="11"/>
        <rFont val="Arial"/>
        <family val="2"/>
      </rPr>
      <t>2.5</t>
    </r>
    <r>
      <rPr>
        <sz val="11"/>
        <rFont val="Arial"/>
        <family val="2"/>
      </rPr>
      <t xml:space="preserve"> emission factor(s) require supporting justification.
4. Attach Table 11 or Table 16 to the application if appropriate. 
Reference: Links to the tables</t>
    </r>
  </si>
  <si>
    <t>Under Texas Government Code 559.003(a), individuals are entitled to receive and review any information collected by TCEQ about the individual by means of a form that is completed and filed with TCEQ in a paper or electronic format on the TCEQ website consistent with Texas Government Code sec., 559.003(b). THSC §382.041 restricts whether confidential information can be disclosed by the commission. The individual is also entitled to have TCEQ correct information about the individual that is incorrect.
If you have questions on how to fill out this form or about the Air Permits Division, please contact TCEQ at 512-239-1250.</t>
  </si>
  <si>
    <r>
      <t xml:space="preserve">The emission summary table is auto-populating based on previous inputs, assuming each source is independent. 
</t>
    </r>
    <r>
      <rPr>
        <b/>
        <sz val="11"/>
        <rFont val="Arial"/>
        <family val="2"/>
      </rPr>
      <t>Instructions:</t>
    </r>
    <r>
      <rPr>
        <sz val="11"/>
        <rFont val="Arial"/>
        <family val="2"/>
      </rPr>
      <t xml:space="preserve"> 
1). Review the auto-populating table. 
2). If this Emission Summary Table is the final representative of the project, select </t>
    </r>
    <r>
      <rPr>
        <b/>
        <sz val="11"/>
        <rFont val="Arial"/>
        <family val="2"/>
      </rPr>
      <t>Yes</t>
    </r>
    <r>
      <rPr>
        <sz val="11"/>
        <rFont val="Arial"/>
        <family val="2"/>
      </rPr>
      <t xml:space="preserve"> in the dropdown below. 
3). If this table is not representative of the project, please use the "Alternative Emission Summary Table" or provide an attachment with justification.
4).Be sure individual and total emission  rates do not exceed 106.4 limits and that annual emission correlate with or are less than the hourly emissions that could occur for  8,760 hours.</t>
    </r>
  </si>
  <si>
    <r>
      <t xml:space="preserve">The alternative emission summary table can be used if the auto populating table does not match desired representation. Applicant can manually populate this table and provide justification.
</t>
    </r>
    <r>
      <rPr>
        <b/>
        <sz val="11"/>
        <color theme="1"/>
        <rFont val="Arial"/>
        <family val="2"/>
      </rPr>
      <t xml:space="preserve">Instructions: </t>
    </r>
    <r>
      <rPr>
        <sz val="11"/>
        <color theme="1"/>
        <rFont val="Arial"/>
        <family val="2"/>
      </rPr>
      <t xml:space="preserve">
1). Manually input applicable data along with any justification.
2). Be sure individual and total emission  rates do not exceed 106.4 limits and that annual emission correlate with or are less than the hourly emissions that could occur for  8,760 hours.</t>
    </r>
  </si>
  <si>
    <r>
      <rPr>
        <b/>
        <sz val="11"/>
        <rFont val="Arial"/>
        <family val="2"/>
      </rPr>
      <t>Instructions:</t>
    </r>
    <r>
      <rPr>
        <sz val="11"/>
        <rFont val="Arial"/>
        <family val="2"/>
      </rPr>
      <t xml:space="preserve">
1. To view the rest of the worksheet, §106.150 needs to be selected back in the 'General Information' Sheet.
2. Complete all applicable inputs below for the project.
3. *Default Asphalt volatility value of -0.5 can be used if not known.
4. **Default Loadout temperature and Silo filling temperature of 325 ˚F can be used if not known.</t>
    </r>
  </si>
  <si>
    <t>Annual Usage (hr/yr)</t>
  </si>
  <si>
    <t>https://www.tceq.texas.gov/permitting/air/apd-steers.html</t>
  </si>
  <si>
    <r>
      <rPr>
        <sz val="11"/>
        <color rgb="FF0000FF"/>
        <rFont val="Arial"/>
        <family val="2"/>
      </rPr>
      <t xml:space="preserve">           </t>
    </r>
    <r>
      <rPr>
        <u/>
        <sz val="11"/>
        <color rgb="FF0000FF"/>
        <rFont val="Arial"/>
        <family val="2"/>
      </rPr>
      <t>https://www.tceq.texas.gov/permitting/air/guidance/newsourcereview/fertilizer/nsr_fac_bulkfert.html</t>
    </r>
  </si>
  <si>
    <r>
      <t xml:space="preserve">Form </t>
    </r>
    <r>
      <rPr>
        <b/>
        <sz val="12"/>
        <rFont val="Arial"/>
        <family val="2"/>
      </rPr>
      <t>20974</t>
    </r>
    <r>
      <rPr>
        <b/>
        <sz val="12"/>
        <color theme="1"/>
        <rFont val="Arial"/>
        <family val="2"/>
      </rPr>
      <t>, Version 1.0</t>
    </r>
  </si>
  <si>
    <t>check each hyper link - 9/05/23</t>
  </si>
  <si>
    <t>add / orgnaize reference and acrynom tabs for future use</t>
  </si>
  <si>
    <r>
      <t xml:space="preserve">This workbook (in Excel format) is </t>
    </r>
    <r>
      <rPr>
        <u/>
        <sz val="11"/>
        <color theme="1"/>
        <rFont val="Arial"/>
        <family val="2"/>
      </rPr>
      <t>required</t>
    </r>
    <r>
      <rPr>
        <sz val="11"/>
        <color theme="1"/>
        <rFont val="Arial"/>
        <family val="2"/>
      </rPr>
      <t xml:space="preserve"> for all PBR applications submitted under these rules.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</si>
</sst>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00"/>
    <numFmt numFmtId="165" formatCode="[=0]0;[&lt;0.01]0.00E+00;#,##0.00"/>
    <numFmt numFmtId="166" formatCode="&quot;$&quot;#,##0.00"/>
    <numFmt numFmtId="167" formatCode="[=0]\ 0.00;[&lt;0.005]\&lt;\ 0.0\1;#,##0.00"/>
    <numFmt numFmtId="168" formatCode="[=0]0;[&lt;0.001]0.00E+00;#,##0.000"/>
    <numFmt numFmtId="169" formatCode="[=0]&quot;-&quot;;[&lt;0.001]0.00E+00;#,##0.00"/>
    <numFmt numFmtId="170" formatCode="[=0]&quot;-&quot;;[&lt;0.005]\&lt;\ 0.0\1;#,##0.00"/>
    <numFmt numFmtId="171" formatCode="[=0]&quot;0&quot;;[&lt;0.005]\&lt;\ 0.0\1;#,##0.00"/>
  </numFmts>
  <fonts count="69">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color theme="1"/>
      <name val="Arial"/>
      <family val="2"/>
    </font>
    <font>
      <sz val="11"/>
      <color theme="1"/>
      <name val="Arial"/>
      <family val="2"/>
    </font>
    <font>
      <b/>
      <sz val="11"/>
      <color theme="1"/>
      <name val="Arial"/>
      <family val="2"/>
    </font>
    <font>
      <u/>
      <sz val="11"/>
      <color rgb="FF0000FF"/>
      <name val="Arial"/>
      <family val="2"/>
    </font>
    <font>
      <b/>
      <sz val="11"/>
      <color rgb="FFC0504D"/>
      <name val="Arial"/>
      <family val="2"/>
    </font>
    <font>
      <b/>
      <sz val="12"/>
      <color theme="1"/>
      <name val="Arial"/>
      <family val="2"/>
    </font>
    <font>
      <i/>
      <sz val="11"/>
      <color theme="1"/>
      <name val="Calibri"/>
      <family val="2"/>
      <scheme val="minor"/>
    </font>
    <font>
      <sz val="11"/>
      <color rgb="FF000000"/>
      <name val="Arial"/>
      <family val="2"/>
    </font>
    <font>
      <b/>
      <sz val="10"/>
      <color rgb="FF000000"/>
      <name val="Arial"/>
      <family val="2"/>
    </font>
    <font>
      <sz val="10"/>
      <color rgb="FF000000"/>
      <name val="Arial"/>
      <family val="2"/>
    </font>
    <font>
      <b/>
      <sz val="11"/>
      <color rgb="FF000000"/>
      <name val="Arial"/>
      <family val="2"/>
    </font>
    <font>
      <sz val="11"/>
      <name val="Arial"/>
      <family val="2"/>
    </font>
    <font>
      <b/>
      <sz val="11"/>
      <name val="Arial"/>
      <family val="2"/>
    </font>
    <font>
      <b/>
      <sz val="11"/>
      <color theme="0"/>
      <name val="Arial"/>
      <family val="2"/>
    </font>
    <font>
      <vertAlign val="subscript"/>
      <sz val="11"/>
      <name val="Arial"/>
      <family val="2"/>
    </font>
    <font>
      <i/>
      <sz val="11"/>
      <name val="Arial"/>
      <family val="2"/>
    </font>
    <font>
      <i/>
      <vertAlign val="subscript"/>
      <sz val="11"/>
      <name val="Arial"/>
      <family val="2"/>
    </font>
    <font>
      <sz val="11"/>
      <color theme="4"/>
      <name val="Calibri"/>
      <family val="2"/>
      <scheme val="minor"/>
    </font>
    <font>
      <sz val="11"/>
      <name val="Calibri"/>
      <family val="2"/>
      <scheme val="minor"/>
    </font>
    <font>
      <b/>
      <strike/>
      <sz val="11"/>
      <color theme="1"/>
      <name val="Arial"/>
      <family val="2"/>
    </font>
    <font>
      <strike/>
      <sz val="11"/>
      <color theme="1"/>
      <name val="Calibri"/>
      <family val="2"/>
      <scheme val="minor"/>
    </font>
    <font>
      <b/>
      <u/>
      <sz val="11"/>
      <color theme="1"/>
      <name val="Calibri"/>
      <family val="2"/>
      <scheme val="minor"/>
    </font>
    <font>
      <b/>
      <sz val="11"/>
      <name val="Calibri"/>
      <family val="2"/>
      <scheme val="minor"/>
    </font>
    <font>
      <sz val="11"/>
      <name val="Times New Roman"/>
      <family val="1"/>
    </font>
    <font>
      <sz val="11"/>
      <color theme="0"/>
      <name val="Arial"/>
      <family val="2"/>
    </font>
    <font>
      <sz val="12"/>
      <name val="Arial"/>
      <family val="2"/>
    </font>
    <font>
      <u/>
      <sz val="11"/>
      <name val="Arial"/>
      <family val="2"/>
    </font>
    <font>
      <sz val="12"/>
      <name val="CG Times (W1)"/>
    </font>
    <font>
      <sz val="11"/>
      <color theme="4"/>
      <name val="Arial"/>
      <family val="2"/>
    </font>
    <font>
      <sz val="11"/>
      <color rgb="FFFF0000"/>
      <name val="Arial"/>
      <family val="2"/>
    </font>
    <font>
      <b/>
      <u/>
      <sz val="11"/>
      <color theme="1"/>
      <name val="Arial"/>
      <family val="2"/>
    </font>
    <font>
      <sz val="12"/>
      <color theme="1"/>
      <name val="Arial"/>
      <family val="2"/>
    </font>
    <font>
      <sz val="8"/>
      <name val="Calibri"/>
      <family val="2"/>
      <scheme val="minor"/>
    </font>
    <font>
      <strike/>
      <sz val="11"/>
      <name val="Arial"/>
      <family val="2"/>
    </font>
    <font>
      <strike/>
      <vertAlign val="superscript"/>
      <sz val="11"/>
      <name val="Arial"/>
      <family val="2"/>
    </font>
    <font>
      <strike/>
      <sz val="11"/>
      <color theme="4"/>
      <name val="Arial"/>
      <family val="2"/>
    </font>
    <font>
      <strike/>
      <sz val="11"/>
      <color rgb="FFFF0000"/>
      <name val="Arial"/>
      <family val="2"/>
    </font>
    <font>
      <vertAlign val="subscript"/>
      <sz val="11"/>
      <color theme="1"/>
      <name val="Arial"/>
      <family val="2"/>
    </font>
    <font>
      <sz val="11"/>
      <color rgb="FFC00000"/>
      <name val="Arial"/>
      <family val="2"/>
    </font>
    <font>
      <b/>
      <sz val="11"/>
      <color rgb="FF000066"/>
      <name val="Arial"/>
      <family val="2"/>
    </font>
    <font>
      <sz val="11"/>
      <color theme="10"/>
      <name val="Arial"/>
      <family val="2"/>
    </font>
    <font>
      <b/>
      <vertAlign val="subscript"/>
      <sz val="11"/>
      <color theme="1"/>
      <name val="Arial"/>
      <family val="2"/>
    </font>
    <font>
      <b/>
      <u/>
      <sz val="11"/>
      <color rgb="FF000000"/>
      <name val="Arial"/>
      <family val="2"/>
    </font>
    <font>
      <sz val="11"/>
      <color theme="5" tint="-0.499984740745262"/>
      <name val="Calibri"/>
      <family val="2"/>
      <scheme val="minor"/>
    </font>
    <font>
      <u/>
      <sz val="11"/>
      <color theme="5" tint="-0.499984740745262"/>
      <name val="Arial"/>
      <family val="2"/>
    </font>
    <font>
      <b/>
      <sz val="12"/>
      <name val="Arial"/>
      <family val="2"/>
    </font>
    <font>
      <sz val="11"/>
      <color rgb="FFC00000"/>
      <name val="Calibri"/>
      <family val="2"/>
      <scheme val="minor"/>
    </font>
    <font>
      <i/>
      <sz val="11"/>
      <color theme="1"/>
      <name val="Arial"/>
      <family val="2"/>
    </font>
    <font>
      <b/>
      <sz val="14"/>
      <name val="Arial"/>
      <family val="2"/>
    </font>
    <font>
      <sz val="11"/>
      <color rgb="FF0000FF"/>
      <name val="Arial"/>
      <family val="2"/>
    </font>
    <font>
      <u/>
      <sz val="11"/>
      <color theme="1"/>
      <name val="Arial"/>
      <family val="2"/>
    </font>
  </fonts>
  <fills count="4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rgb="FFFFFFCC"/>
        <bgColor indexed="64"/>
      </patternFill>
    </fill>
    <fill>
      <patternFill patternType="solid">
        <fgColor theme="0" tint="-0.14996795556505021"/>
        <bgColor indexed="64"/>
      </patternFill>
    </fill>
    <fill>
      <patternFill patternType="solid">
        <fgColor rgb="FFFF99CC"/>
        <bgColor indexed="64"/>
      </patternFill>
    </fill>
    <fill>
      <patternFill patternType="solid">
        <fgColor rgb="FFC58BFF"/>
        <bgColor indexed="64"/>
      </patternFill>
    </fill>
    <fill>
      <patternFill patternType="solid">
        <fgColor rgb="FFFFFFCC"/>
        <bgColor rgb="FF000000"/>
      </patternFill>
    </fill>
    <fill>
      <patternFill patternType="solid">
        <fgColor theme="9" tint="0.79998168889431442"/>
        <bgColor indexed="64"/>
      </patternFill>
    </fill>
    <fill>
      <patternFill patternType="solid">
        <fgColor theme="0" tint="-0.499984740745262"/>
        <bgColor indexed="64"/>
      </patternFill>
    </fill>
    <fill>
      <patternFill patternType="solid">
        <fgColor rgb="FFEBB8B7"/>
        <bgColor indexed="64"/>
      </patternFill>
    </fill>
    <fill>
      <patternFill patternType="solid">
        <fgColor rgb="FFFFFF00"/>
        <bgColor rgb="FF000000"/>
      </patternFill>
    </fill>
    <fill>
      <patternFill patternType="solid">
        <fgColor theme="0"/>
        <bgColor indexed="64"/>
      </patternFill>
    </fill>
    <fill>
      <patternFill patternType="solid">
        <fgColor theme="2"/>
        <bgColor indexed="64"/>
      </patternFill>
    </fill>
    <fill>
      <patternFill patternType="solid">
        <fgColor indexed="44"/>
        <bgColor indexed="64"/>
      </patternFill>
    </fill>
    <fill>
      <patternFill patternType="solid">
        <fgColor theme="0" tint="-4.9989318521683403E-2"/>
        <bgColor indexed="64"/>
      </patternFill>
    </fill>
    <fill>
      <patternFill patternType="solid">
        <fgColor theme="1"/>
        <bgColor indexed="64"/>
      </patternFill>
    </fill>
  </fills>
  <borders count="9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n">
        <color rgb="FF000000"/>
      </left>
      <right style="thin">
        <color indexed="64"/>
      </right>
      <top style="medium">
        <color rgb="FF000000"/>
      </top>
      <bottom style="thin">
        <color indexed="64"/>
      </bottom>
      <diagonal/>
    </border>
    <border>
      <left style="thin">
        <color auto="1"/>
      </left>
      <right style="medium">
        <color rgb="FF000000"/>
      </right>
      <top style="medium">
        <color rgb="FF000000"/>
      </top>
      <bottom style="thin">
        <color auto="1"/>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style="thin">
        <color indexed="64"/>
      </right>
      <top style="thin">
        <color indexed="64"/>
      </top>
      <bottom style="medium">
        <color rgb="FF000000"/>
      </bottom>
      <diagonal/>
    </border>
    <border>
      <left style="thin">
        <color auto="1"/>
      </left>
      <right style="thin">
        <color auto="1"/>
      </right>
      <top style="thin">
        <color auto="1"/>
      </top>
      <bottom style="medium">
        <color rgb="FF000000"/>
      </bottom>
      <diagonal/>
    </border>
    <border>
      <left style="thin">
        <color auto="1"/>
      </left>
      <right style="medium">
        <color rgb="FF000000"/>
      </right>
      <top style="thin">
        <color auto="1"/>
      </top>
      <bottom style="medium">
        <color rgb="FF000000"/>
      </bottom>
      <diagonal/>
    </border>
    <border>
      <left/>
      <right style="thin">
        <color indexed="64"/>
      </right>
      <top/>
      <bottom/>
      <diagonal/>
    </border>
    <border>
      <left style="thin">
        <color indexed="64"/>
      </left>
      <right style="thin">
        <color indexed="64"/>
      </right>
      <top/>
      <bottom/>
      <diagonal/>
    </border>
    <border>
      <left style="thick">
        <color auto="1"/>
      </left>
      <right style="thin">
        <color indexed="64"/>
      </right>
      <top style="thick">
        <color auto="1"/>
      </top>
      <bottom style="thin">
        <color indexed="64"/>
      </bottom>
      <diagonal/>
    </border>
    <border>
      <left/>
      <right/>
      <top style="thick">
        <color auto="1"/>
      </top>
      <bottom/>
      <diagonal/>
    </border>
    <border>
      <left/>
      <right style="thick">
        <color auto="1"/>
      </right>
      <top style="thick">
        <color auto="1"/>
      </top>
      <bottom/>
      <diagonal/>
    </border>
    <border>
      <left style="medium">
        <color indexed="64"/>
      </left>
      <right style="thin">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right/>
      <top style="thin">
        <color indexed="64"/>
      </top>
      <bottom style="thin">
        <color indexed="64"/>
      </bottom>
      <diagonal/>
    </border>
    <border>
      <left style="medium">
        <color indexed="64"/>
      </left>
      <right style="thin">
        <color indexed="64"/>
      </right>
      <top/>
      <bottom style="thin">
        <color indexed="64"/>
      </bottom>
      <diagonal/>
    </border>
    <border>
      <left/>
      <right/>
      <top style="thin">
        <color indexed="64"/>
      </top>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s>
  <cellStyleXfs count="61">
    <xf numFmtId="0" fontId="0" fillId="0" borderId="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9" fontId="18" fillId="35" borderId="10">
      <alignment horizontal="center" vertical="center" wrapText="1"/>
    </xf>
    <xf numFmtId="49" fontId="20" fillId="33" borderId="10">
      <alignment horizontal="left" vertical="top" wrapText="1"/>
    </xf>
    <xf numFmtId="0" fontId="19" fillId="0" borderId="11">
      <alignment horizontal="left" vertical="top" wrapText="1"/>
    </xf>
    <xf numFmtId="49" fontId="20" fillId="0" borderId="12">
      <alignment horizontal="left" vertical="top" wrapText="1"/>
    </xf>
    <xf numFmtId="0" fontId="21" fillId="0" borderId="11">
      <alignment horizontal="left" vertical="top" wrapText="1"/>
    </xf>
    <xf numFmtId="0" fontId="21" fillId="0" borderId="11">
      <alignment horizontal="left" vertical="top" wrapText="1"/>
    </xf>
    <xf numFmtId="0" fontId="22" fillId="0" borderId="11">
      <alignment horizontal="left" vertical="top" wrapText="1"/>
    </xf>
    <xf numFmtId="0" fontId="19" fillId="34" borderId="11">
      <alignment horizontal="left" vertical="top" wrapText="1"/>
      <protection locked="0"/>
    </xf>
    <xf numFmtId="0" fontId="1" fillId="39" borderId="0"/>
    <xf numFmtId="0" fontId="1" fillId="40" borderId="0"/>
    <xf numFmtId="0" fontId="1" fillId="41" borderId="0"/>
    <xf numFmtId="0" fontId="27" fillId="0" borderId="0"/>
    <xf numFmtId="0" fontId="19" fillId="0" borderId="0"/>
    <xf numFmtId="0" fontId="58" fillId="0" borderId="0" applyNumberFormat="0" applyFill="0" applyBorder="0" applyAlignment="0" applyProtection="0"/>
  </cellStyleXfs>
  <cellXfs count="778">
    <xf numFmtId="0" fontId="0" fillId="0" borderId="0" xfId="0"/>
    <xf numFmtId="49" fontId="20" fillId="33" borderId="10" xfId="48">
      <alignment horizontal="left" vertical="top" wrapText="1"/>
    </xf>
    <xf numFmtId="0" fontId="19" fillId="0" borderId="11" xfId="49">
      <alignment horizontal="left" vertical="top" wrapText="1"/>
    </xf>
    <xf numFmtId="49" fontId="20" fillId="33" borderId="14" xfId="48" applyBorder="1">
      <alignment horizontal="left" vertical="top" wrapText="1"/>
    </xf>
    <xf numFmtId="0" fontId="19" fillId="0" borderId="18" xfId="49" applyBorder="1">
      <alignment horizontal="left" vertical="top" wrapText="1"/>
    </xf>
    <xf numFmtId="0" fontId="19" fillId="36" borderId="11" xfId="49" applyFill="1">
      <alignment horizontal="left" vertical="top" wrapText="1"/>
    </xf>
    <xf numFmtId="0" fontId="19" fillId="0" borderId="23" xfId="49" applyBorder="1">
      <alignment horizontal="left" vertical="top" wrapText="1"/>
    </xf>
    <xf numFmtId="0" fontId="19" fillId="0" borderId="25" xfId="49" applyBorder="1">
      <alignment horizontal="left" vertical="top" wrapText="1"/>
    </xf>
    <xf numFmtId="0" fontId="19" fillId="0" borderId="27" xfId="49" applyBorder="1">
      <alignment horizontal="left" vertical="top" wrapText="1"/>
    </xf>
    <xf numFmtId="3" fontId="0" fillId="0" borderId="0" xfId="0" applyNumberFormat="1"/>
    <xf numFmtId="49" fontId="20" fillId="0" borderId="12" xfId="50">
      <alignment horizontal="left" vertical="top" wrapText="1"/>
    </xf>
    <xf numFmtId="0" fontId="0" fillId="37" borderId="0" xfId="0" applyFill="1"/>
    <xf numFmtId="49" fontId="20" fillId="36" borderId="12" xfId="50" applyFill="1">
      <alignment horizontal="left" vertical="top" wrapText="1"/>
    </xf>
    <xf numFmtId="49" fontId="20" fillId="0" borderId="12" xfId="50" quotePrefix="1">
      <alignment horizontal="left" vertical="top" wrapText="1"/>
    </xf>
    <xf numFmtId="0" fontId="19" fillId="37" borderId="25" xfId="49" applyFill="1" applyBorder="1">
      <alignment horizontal="left" vertical="top" wrapText="1"/>
    </xf>
    <xf numFmtId="0" fontId="19" fillId="37" borderId="26" xfId="49" applyFill="1" applyBorder="1">
      <alignment horizontal="left" vertical="top" wrapText="1"/>
    </xf>
    <xf numFmtId="0" fontId="19" fillId="37" borderId="27" xfId="49" applyFill="1" applyBorder="1">
      <alignment horizontal="left" vertical="top" wrapText="1"/>
    </xf>
    <xf numFmtId="0" fontId="19" fillId="37" borderId="29" xfId="49" applyFill="1" applyBorder="1">
      <alignment horizontal="left" vertical="top" wrapText="1"/>
    </xf>
    <xf numFmtId="49" fontId="20" fillId="37" borderId="10" xfId="48" applyFill="1">
      <alignment horizontal="left" vertical="top" wrapText="1"/>
    </xf>
    <xf numFmtId="0" fontId="19" fillId="37" borderId="11" xfId="49" applyFill="1">
      <alignment horizontal="left" vertical="top" wrapText="1"/>
    </xf>
    <xf numFmtId="0" fontId="19" fillId="37" borderId="28" xfId="49" applyFill="1" applyBorder="1">
      <alignment horizontal="left" vertical="top" wrapText="1"/>
    </xf>
    <xf numFmtId="0" fontId="19" fillId="36" borderId="26" xfId="49" applyFill="1" applyBorder="1">
      <alignment horizontal="left" vertical="top" wrapText="1"/>
    </xf>
    <xf numFmtId="0" fontId="19" fillId="36" borderId="29" xfId="49" applyFill="1" applyBorder="1">
      <alignment horizontal="left" vertical="top" wrapText="1"/>
    </xf>
    <xf numFmtId="0" fontId="19" fillId="36" borderId="24" xfId="49" applyFill="1" applyBorder="1">
      <alignment horizontal="left" vertical="top" wrapText="1"/>
    </xf>
    <xf numFmtId="0" fontId="19" fillId="0" borderId="26" xfId="49" applyBorder="1">
      <alignment horizontal="left" vertical="top" wrapText="1"/>
    </xf>
    <xf numFmtId="0" fontId="19" fillId="37" borderId="26" xfId="49" quotePrefix="1" applyFill="1" applyBorder="1">
      <alignment horizontal="left" vertical="top" wrapText="1"/>
    </xf>
    <xf numFmtId="0" fontId="19" fillId="37" borderId="29" xfId="49" quotePrefix="1" applyFill="1" applyBorder="1">
      <alignment horizontal="left" vertical="top" wrapText="1"/>
    </xf>
    <xf numFmtId="0" fontId="0" fillId="0" borderId="0" xfId="0" quotePrefix="1"/>
    <xf numFmtId="0" fontId="0" fillId="0" borderId="0" xfId="0" applyAlignment="1">
      <alignment wrapText="1"/>
    </xf>
    <xf numFmtId="0" fontId="24" fillId="0" borderId="0" xfId="0" applyFont="1"/>
    <xf numFmtId="0" fontId="24" fillId="0" borderId="0" xfId="0" applyFont="1" applyAlignment="1">
      <alignment wrapText="1"/>
    </xf>
    <xf numFmtId="0" fontId="16" fillId="0" borderId="0" xfId="0" applyFont="1"/>
    <xf numFmtId="0" fontId="0" fillId="40" borderId="0" xfId="0" applyFill="1"/>
    <xf numFmtId="0" fontId="26" fillId="0" borderId="0" xfId="0" applyFont="1"/>
    <xf numFmtId="0" fontId="27" fillId="0" borderId="31" xfId="0" applyFont="1" applyBorder="1"/>
    <xf numFmtId="0" fontId="27" fillId="0" borderId="30" xfId="0" applyFont="1" applyBorder="1"/>
    <xf numFmtId="0" fontId="27" fillId="0" borderId="32" xfId="0" applyFont="1" applyBorder="1"/>
    <xf numFmtId="0" fontId="27" fillId="0" borderId="0" xfId="0" applyFont="1"/>
    <xf numFmtId="0" fontId="27" fillId="0" borderId="33" xfId="0" applyFont="1" applyBorder="1"/>
    <xf numFmtId="0" fontId="27" fillId="0" borderId="34" xfId="0" applyFont="1" applyBorder="1"/>
    <xf numFmtId="0" fontId="27" fillId="0" borderId="35" xfId="0" applyFont="1" applyBorder="1"/>
    <xf numFmtId="0" fontId="27" fillId="0" borderId="36" xfId="0" applyFont="1" applyBorder="1"/>
    <xf numFmtId="0" fontId="27" fillId="0" borderId="31" xfId="0" applyFont="1" applyBorder="1" applyAlignment="1">
      <alignment wrapText="1"/>
    </xf>
    <xf numFmtId="0" fontId="27" fillId="0" borderId="0" xfId="0" applyFont="1" applyAlignment="1">
      <alignment wrapText="1"/>
    </xf>
    <xf numFmtId="0" fontId="27" fillId="0" borderId="34" xfId="0" applyFont="1" applyBorder="1" applyAlignment="1">
      <alignment wrapText="1"/>
    </xf>
    <xf numFmtId="0" fontId="27" fillId="42" borderId="0" xfId="0" applyFont="1" applyFill="1"/>
    <xf numFmtId="0" fontId="27" fillId="42" borderId="34" xfId="0" applyFont="1" applyFill="1" applyBorder="1"/>
    <xf numFmtId="17" fontId="0" fillId="0" borderId="0" xfId="0" applyNumberFormat="1"/>
    <xf numFmtId="0" fontId="28" fillId="0" borderId="0" xfId="0" applyFont="1"/>
    <xf numFmtId="0" fontId="25" fillId="0" borderId="0" xfId="0" applyFont="1"/>
    <xf numFmtId="14" fontId="25" fillId="0" borderId="0" xfId="0" applyNumberFormat="1" applyFont="1"/>
    <xf numFmtId="0" fontId="30" fillId="0" borderId="31" xfId="0" applyFont="1" applyBorder="1" applyAlignment="1">
      <alignment vertical="center"/>
    </xf>
    <xf numFmtId="0" fontId="29" fillId="0" borderId="15" xfId="0" applyFont="1" applyBorder="1"/>
    <xf numFmtId="0" fontId="29" fillId="0" borderId="14" xfId="0" applyFont="1" applyBorder="1"/>
    <xf numFmtId="0" fontId="29" fillId="0" borderId="35" xfId="0" applyFont="1" applyBorder="1" applyAlignment="1">
      <alignment horizontal="left" wrapText="1" indent="2"/>
    </xf>
    <xf numFmtId="0" fontId="29" fillId="0" borderId="36" xfId="0" applyFont="1" applyBorder="1" applyAlignment="1">
      <alignment horizontal="center"/>
    </xf>
    <xf numFmtId="0" fontId="29" fillId="0" borderId="35" xfId="0" applyFont="1" applyBorder="1" applyAlignment="1">
      <alignment horizontal="left" indent="2"/>
    </xf>
    <xf numFmtId="0" fontId="33" fillId="0" borderId="0" xfId="0" applyFont="1" applyAlignment="1">
      <alignment vertical="top"/>
    </xf>
    <xf numFmtId="0" fontId="27" fillId="0" borderId="37" xfId="0" applyFont="1" applyBorder="1"/>
    <xf numFmtId="0" fontId="35" fillId="0" borderId="0" xfId="0" applyFont="1"/>
    <xf numFmtId="0" fontId="20" fillId="0" borderId="43" xfId="0" applyFont="1" applyBorder="1" applyAlignment="1">
      <alignment horizontal="left" vertical="top" wrapText="1"/>
    </xf>
    <xf numFmtId="0" fontId="20" fillId="0" borderId="44" xfId="0" applyFont="1" applyBorder="1" applyAlignment="1">
      <alignment horizontal="left" vertical="top" wrapText="1"/>
    </xf>
    <xf numFmtId="0" fontId="0" fillId="0" borderId="43" xfId="0" applyBorder="1" applyAlignment="1">
      <alignment horizontal="left" vertical="top" wrapText="1"/>
    </xf>
    <xf numFmtId="0" fontId="0" fillId="0" borderId="38" xfId="0" applyBorder="1" applyAlignment="1">
      <alignment horizontal="left" vertical="top" wrapText="1"/>
    </xf>
    <xf numFmtId="0" fontId="0" fillId="0" borderId="45" xfId="0" applyBorder="1" applyAlignment="1">
      <alignment horizontal="left" vertical="top" wrapText="1"/>
    </xf>
    <xf numFmtId="1" fontId="0" fillId="0" borderId="0" xfId="0" applyNumberFormat="1"/>
    <xf numFmtId="0" fontId="0" fillId="0" borderId="46" xfId="0" applyBorder="1" applyAlignment="1">
      <alignment horizontal="left" vertical="top" wrapText="1"/>
    </xf>
    <xf numFmtId="0" fontId="0" fillId="0" borderId="47" xfId="0" applyBorder="1" applyAlignment="1">
      <alignment horizontal="left" vertical="top" wrapText="1"/>
    </xf>
    <xf numFmtId="0" fontId="20" fillId="0" borderId="48" xfId="0" applyFont="1" applyBorder="1" applyAlignment="1">
      <alignment horizontal="left" vertical="top" wrapText="1"/>
    </xf>
    <xf numFmtId="0" fontId="0" fillId="0" borderId="49" xfId="0" applyBorder="1" applyAlignment="1">
      <alignment horizontal="left" vertical="top" wrapText="1"/>
    </xf>
    <xf numFmtId="0" fontId="0" fillId="0" borderId="52" xfId="0" applyBorder="1" applyAlignment="1">
      <alignment horizontal="left" vertical="top" wrapText="1"/>
    </xf>
    <xf numFmtId="0" fontId="0" fillId="0" borderId="53" xfId="0" applyBorder="1" applyAlignment="1">
      <alignment horizontal="left" vertical="top" wrapText="1"/>
    </xf>
    <xf numFmtId="0" fontId="0" fillId="0" borderId="54" xfId="0" applyBorder="1" applyAlignment="1">
      <alignment horizontal="left" vertical="top" wrapText="1"/>
    </xf>
    <xf numFmtId="0" fontId="0" fillId="0" borderId="11" xfId="0" applyBorder="1" applyAlignment="1">
      <alignment horizontal="left" vertical="top" wrapText="1"/>
    </xf>
    <xf numFmtId="0" fontId="0" fillId="0" borderId="55" xfId="0" applyBorder="1" applyAlignment="1">
      <alignment horizontal="left" vertical="top" wrapText="1"/>
    </xf>
    <xf numFmtId="166" fontId="0" fillId="0" borderId="55" xfId="0" applyNumberFormat="1" applyBorder="1" applyAlignment="1">
      <alignment horizontal="left" vertical="top" wrapText="1"/>
    </xf>
    <xf numFmtId="0" fontId="0" fillId="0" borderId="56" xfId="0" applyBorder="1" applyAlignment="1">
      <alignment horizontal="left" vertical="top" wrapText="1"/>
    </xf>
    <xf numFmtId="0" fontId="0" fillId="0" borderId="57" xfId="0" applyBorder="1" applyAlignment="1">
      <alignment horizontal="left" vertical="top" wrapText="1"/>
    </xf>
    <xf numFmtId="0" fontId="0" fillId="0" borderId="58" xfId="0" applyBorder="1" applyAlignment="1">
      <alignment horizontal="left" vertical="top" wrapText="1"/>
    </xf>
    <xf numFmtId="0" fontId="0" fillId="0" borderId="18" xfId="0" applyBorder="1" applyAlignment="1">
      <alignment horizontal="left" vertical="top" wrapText="1"/>
    </xf>
    <xf numFmtId="167" fontId="0" fillId="0" borderId="11" xfId="0" applyNumberFormat="1" applyBorder="1" applyAlignment="1">
      <alignment horizontal="left" vertical="top" wrapText="1"/>
    </xf>
    <xf numFmtId="0" fontId="0" fillId="0" borderId="59" xfId="0" applyBorder="1" applyAlignment="1">
      <alignment horizontal="left" vertical="top" wrapText="1"/>
    </xf>
    <xf numFmtId="0" fontId="0" fillId="0" borderId="60" xfId="0" applyBorder="1" applyAlignment="1">
      <alignment horizontal="left" vertical="top" wrapText="1"/>
    </xf>
    <xf numFmtId="0" fontId="0" fillId="0" borderId="48" xfId="0" applyBorder="1" applyAlignment="1">
      <alignment horizontal="left" vertical="top" wrapText="1"/>
    </xf>
    <xf numFmtId="0" fontId="20" fillId="0" borderId="11" xfId="0" applyFont="1" applyBorder="1" applyAlignment="1">
      <alignment horizontal="left" vertical="top" wrapText="1"/>
    </xf>
    <xf numFmtId="0" fontId="37" fillId="0" borderId="43" xfId="0" applyFont="1" applyBorder="1" applyAlignment="1">
      <alignment horizontal="left" vertical="top" wrapText="1"/>
    </xf>
    <xf numFmtId="0" fontId="37" fillId="0" borderId="48" xfId="0" applyFont="1" applyBorder="1" applyAlignment="1">
      <alignment horizontal="left" vertical="top" wrapText="1"/>
    </xf>
    <xf numFmtId="0" fontId="37" fillId="0" borderId="44" xfId="0" applyFont="1" applyBorder="1" applyAlignment="1">
      <alignment horizontal="left" vertical="top" wrapText="1"/>
    </xf>
    <xf numFmtId="0" fontId="38" fillId="0" borderId="38" xfId="0" applyFont="1" applyBorder="1"/>
    <xf numFmtId="165" fontId="38" fillId="0" borderId="11" xfId="0" applyNumberFormat="1" applyFont="1" applyBorder="1" applyAlignment="1">
      <alignment horizontal="left" vertical="top" wrapText="1"/>
    </xf>
    <xf numFmtId="165" fontId="38" fillId="0" borderId="45" xfId="0" applyNumberFormat="1" applyFont="1" applyBorder="1" applyAlignment="1">
      <alignment horizontal="left" vertical="top" wrapText="1"/>
    </xf>
    <xf numFmtId="0" fontId="38" fillId="0" borderId="46" xfId="0" applyFont="1" applyBorder="1"/>
    <xf numFmtId="165" fontId="38" fillId="0" borderId="18" xfId="0" applyNumberFormat="1" applyFont="1" applyBorder="1" applyAlignment="1">
      <alignment horizontal="left" vertical="top" wrapText="1"/>
    </xf>
    <xf numFmtId="165" fontId="38" fillId="0" borderId="47" xfId="0" applyNumberFormat="1" applyFont="1" applyBorder="1" applyAlignment="1">
      <alignment horizontal="left" vertical="top" wrapText="1"/>
    </xf>
    <xf numFmtId="0" fontId="39" fillId="0" borderId="0" xfId="0" applyFont="1"/>
    <xf numFmtId="0" fontId="14" fillId="34" borderId="0" xfId="0" applyFont="1" applyFill="1"/>
    <xf numFmtId="0" fontId="40" fillId="0" borderId="17" xfId="0" applyFont="1" applyBorder="1" applyAlignment="1">
      <alignment horizontal="center" vertical="center" wrapText="1"/>
    </xf>
    <xf numFmtId="0" fontId="40" fillId="0" borderId="10" xfId="0" applyFont="1" applyBorder="1" applyAlignment="1">
      <alignment horizontal="center" vertical="center" wrapText="1"/>
    </xf>
    <xf numFmtId="0" fontId="36" fillId="0" borderId="12" xfId="0" applyFont="1" applyBorder="1" applyAlignment="1">
      <alignment horizontal="center" vertical="center" wrapText="1"/>
    </xf>
    <xf numFmtId="0" fontId="36" fillId="0" borderId="11" xfId="0" applyFont="1" applyBorder="1" applyAlignment="1">
      <alignment horizontal="center" vertical="center" wrapText="1"/>
    </xf>
    <xf numFmtId="0" fontId="36" fillId="0" borderId="26" xfId="0" applyFont="1" applyBorder="1" applyAlignment="1">
      <alignment horizontal="center" vertical="center" wrapText="1"/>
    </xf>
    <xf numFmtId="0" fontId="36" fillId="0" borderId="28" xfId="0" applyFont="1" applyBorder="1" applyAlignment="1">
      <alignment horizontal="center" vertical="center" wrapText="1"/>
    </xf>
    <xf numFmtId="0" fontId="0" fillId="0" borderId="30" xfId="0" applyBorder="1"/>
    <xf numFmtId="0" fontId="21" fillId="0" borderId="61" xfId="51" applyBorder="1">
      <alignment horizontal="left" vertical="top" wrapText="1"/>
    </xf>
    <xf numFmtId="0" fontId="0" fillId="0" borderId="62" xfId="0" applyBorder="1"/>
    <xf numFmtId="0" fontId="0" fillId="0" borderId="63" xfId="0" applyBorder="1"/>
    <xf numFmtId="0" fontId="41" fillId="45" borderId="14" xfId="51" applyFont="1" applyFill="1" applyBorder="1" applyAlignment="1">
      <alignment horizontal="center" vertical="top" wrapText="1"/>
    </xf>
    <xf numFmtId="0" fontId="43" fillId="0" borderId="0" xfId="0" applyFont="1" applyAlignment="1">
      <alignment vertical="top"/>
    </xf>
    <xf numFmtId="0" fontId="44" fillId="0" borderId="20" xfId="0" applyFont="1" applyBorder="1"/>
    <xf numFmtId="0" fontId="43" fillId="0" borderId="0" xfId="0" applyFont="1" applyAlignment="1">
      <alignment wrapText="1"/>
    </xf>
    <xf numFmtId="0" fontId="27" fillId="0" borderId="13" xfId="0" applyFont="1" applyBorder="1"/>
    <xf numFmtId="0" fontId="27" fillId="0" borderId="15" xfId="0" applyFont="1" applyBorder="1"/>
    <xf numFmtId="0" fontId="27" fillId="0" borderId="15" xfId="0" applyFont="1" applyBorder="1" applyAlignment="1">
      <alignment wrapText="1"/>
    </xf>
    <xf numFmtId="0" fontId="27" fillId="0" borderId="13" xfId="0" applyFont="1" applyBorder="1" applyAlignment="1">
      <alignment wrapText="1"/>
    </xf>
    <xf numFmtId="0" fontId="27" fillId="42" borderId="15" xfId="0" applyFont="1" applyFill="1" applyBorder="1" applyAlignment="1">
      <alignment wrapText="1"/>
    </xf>
    <xf numFmtId="0" fontId="27" fillId="42" borderId="15" xfId="0" applyFont="1" applyFill="1" applyBorder="1"/>
    <xf numFmtId="0" fontId="27" fillId="42" borderId="14" xfId="0" applyFont="1" applyFill="1" applyBorder="1"/>
    <xf numFmtId="0" fontId="0" fillId="0" borderId="36" xfId="0" applyBorder="1"/>
    <xf numFmtId="0" fontId="0" fillId="0" borderId="35" xfId="0" applyBorder="1"/>
    <xf numFmtId="0" fontId="46" fillId="0" borderId="35" xfId="0" applyFont="1" applyBorder="1" applyAlignment="1">
      <alignment horizontal="left" wrapText="1" indent="2"/>
    </xf>
    <xf numFmtId="0" fontId="0" fillId="0" borderId="13" xfId="0" applyBorder="1"/>
    <xf numFmtId="0" fontId="0" fillId="0" borderId="15" xfId="0" applyBorder="1"/>
    <xf numFmtId="0" fontId="0" fillId="0" borderId="14" xfId="0" applyBorder="1"/>
    <xf numFmtId="0" fontId="27" fillId="42" borderId="0" xfId="0" applyFont="1" applyFill="1" applyAlignment="1">
      <alignment wrapText="1"/>
    </xf>
    <xf numFmtId="0" fontId="30" fillId="33" borderId="20" xfId="0" applyFont="1" applyFill="1" applyBorder="1"/>
    <xf numFmtId="0" fontId="30" fillId="33" borderId="40" xfId="0" applyFont="1" applyFill="1" applyBorder="1"/>
    <xf numFmtId="0" fontId="48" fillId="0" borderId="0" xfId="0" applyFont="1"/>
    <xf numFmtId="0" fontId="49" fillId="33" borderId="40" xfId="0" applyFont="1" applyFill="1" applyBorder="1"/>
    <xf numFmtId="0" fontId="23" fillId="33" borderId="40" xfId="0" applyFont="1" applyFill="1" applyBorder="1" applyAlignment="1">
      <alignment horizontal="left"/>
    </xf>
    <xf numFmtId="0" fontId="49" fillId="0" borderId="0" xfId="0" applyFont="1"/>
    <xf numFmtId="0" fontId="30" fillId="0" borderId="22" xfId="0" applyFont="1" applyBorder="1" applyAlignment="1">
      <alignment horizontal="left" vertical="top" wrapText="1"/>
    </xf>
    <xf numFmtId="0" fontId="19" fillId="0" borderId="0" xfId="0" applyFont="1"/>
    <xf numFmtId="0" fontId="29" fillId="0" borderId="12" xfId="0" applyFont="1" applyBorder="1" applyAlignment="1">
      <alignment horizontal="left" vertical="top" wrapText="1"/>
    </xf>
    <xf numFmtId="0" fontId="29" fillId="0" borderId="11" xfId="0" applyFont="1" applyBorder="1" applyAlignment="1">
      <alignment horizontal="left" vertical="top" wrapText="1"/>
    </xf>
    <xf numFmtId="0" fontId="19" fillId="0" borderId="0" xfId="0" applyFont="1" applyAlignment="1">
      <alignment wrapText="1"/>
    </xf>
    <xf numFmtId="0" fontId="19" fillId="0" borderId="11" xfId="0" applyFont="1" applyBorder="1" applyAlignment="1">
      <alignment horizontal="left" vertical="top"/>
    </xf>
    <xf numFmtId="0" fontId="19" fillId="0" borderId="28" xfId="0" applyFont="1" applyBorder="1" applyAlignment="1">
      <alignment horizontal="left" vertical="top"/>
    </xf>
    <xf numFmtId="0" fontId="19" fillId="0" borderId="12" xfId="0" applyFont="1" applyBorder="1" applyAlignment="1">
      <alignment horizontal="left" vertical="top"/>
    </xf>
    <xf numFmtId="0" fontId="19" fillId="0" borderId="11" xfId="0" applyFont="1" applyBorder="1" applyAlignment="1">
      <alignment horizontal="left" vertical="top" wrapText="1"/>
    </xf>
    <xf numFmtId="0" fontId="19" fillId="0" borderId="12" xfId="0" applyFont="1" applyBorder="1" applyAlignment="1">
      <alignment horizontal="left" vertical="top" wrapText="1"/>
    </xf>
    <xf numFmtId="0" fontId="19" fillId="0" borderId="18" xfId="0" applyFont="1" applyBorder="1" applyAlignment="1">
      <alignment horizontal="left" vertical="top" wrapText="1"/>
    </xf>
    <xf numFmtId="0" fontId="19" fillId="0" borderId="18" xfId="0" applyFont="1" applyBorder="1" applyAlignment="1">
      <alignment horizontal="left" vertical="top"/>
    </xf>
    <xf numFmtId="0" fontId="19" fillId="0" borderId="27" xfId="0" applyFont="1" applyBorder="1" applyAlignment="1">
      <alignment horizontal="left" vertical="top" wrapText="1"/>
    </xf>
    <xf numFmtId="0" fontId="19" fillId="0" borderId="64" xfId="0" applyFont="1" applyBorder="1" applyAlignment="1">
      <alignment horizontal="left" vertical="top" wrapText="1"/>
    </xf>
    <xf numFmtId="9" fontId="36" fillId="0" borderId="26" xfId="0" applyNumberFormat="1" applyFont="1" applyBorder="1" applyAlignment="1">
      <alignment horizontal="center" vertical="center" wrapText="1"/>
    </xf>
    <xf numFmtId="9" fontId="36" fillId="0" borderId="29" xfId="0" applyNumberFormat="1" applyFont="1" applyBorder="1" applyAlignment="1">
      <alignment horizontal="center" vertical="center" wrapText="1"/>
    </xf>
    <xf numFmtId="9" fontId="36" fillId="0" borderId="24" xfId="0" applyNumberFormat="1" applyFont="1" applyBorder="1" applyAlignment="1">
      <alignment horizontal="center" vertical="center" wrapText="1"/>
    </xf>
    <xf numFmtId="0" fontId="29" fillId="0" borderId="0" xfId="0" applyFont="1"/>
    <xf numFmtId="0" fontId="25" fillId="0" borderId="0" xfId="0" quotePrefix="1" applyFont="1"/>
    <xf numFmtId="2" fontId="51" fillId="40" borderId="15" xfId="0" applyNumberFormat="1" applyFont="1" applyFill="1" applyBorder="1"/>
    <xf numFmtId="2" fontId="53" fillId="40" borderId="33" xfId="0" applyNumberFormat="1" applyFont="1" applyFill="1" applyBorder="1" applyAlignment="1">
      <alignment horizontal="center"/>
    </xf>
    <xf numFmtId="2" fontId="54" fillId="40" borderId="33" xfId="0" applyNumberFormat="1" applyFont="1" applyFill="1" applyBorder="1" applyAlignment="1">
      <alignment horizontal="left"/>
    </xf>
    <xf numFmtId="2" fontId="51" fillId="40" borderId="33" xfId="0" applyNumberFormat="1" applyFont="1" applyFill="1" applyBorder="1" applyAlignment="1">
      <alignment horizontal="center"/>
    </xf>
    <xf numFmtId="0" fontId="29" fillId="0" borderId="31" xfId="0" applyFont="1" applyBorder="1" applyAlignment="1">
      <alignment horizontal="center"/>
    </xf>
    <xf numFmtId="0" fontId="29" fillId="0" borderId="32" xfId="0" applyFont="1" applyBorder="1" applyAlignment="1">
      <alignment horizontal="center"/>
    </xf>
    <xf numFmtId="0" fontId="29" fillId="0" borderId="0" xfId="0" applyFont="1" applyAlignment="1">
      <alignment horizontal="center"/>
    </xf>
    <xf numFmtId="0" fontId="29" fillId="0" borderId="33" xfId="0" applyFont="1" applyBorder="1" applyAlignment="1">
      <alignment horizontal="center"/>
    </xf>
    <xf numFmtId="0" fontId="29" fillId="0" borderId="34" xfId="0" applyFont="1" applyBorder="1" applyAlignment="1">
      <alignment horizontal="center" vertical="center"/>
    </xf>
    <xf numFmtId="0" fontId="29" fillId="0" borderId="34" xfId="0" applyFont="1" applyBorder="1" applyAlignment="1">
      <alignment wrapText="1"/>
    </xf>
    <xf numFmtId="0" fontId="29" fillId="0" borderId="33" xfId="0" applyFont="1" applyBorder="1" applyAlignment="1">
      <alignment horizontal="center" vertical="center"/>
    </xf>
    <xf numFmtId="0" fontId="29" fillId="44" borderId="37" xfId="0" applyFont="1" applyFill="1" applyBorder="1" applyAlignment="1">
      <alignment horizontal="center"/>
    </xf>
    <xf numFmtId="0" fontId="29" fillId="44" borderId="36" xfId="0" applyFont="1" applyFill="1" applyBorder="1" applyAlignment="1">
      <alignment horizontal="center"/>
    </xf>
    <xf numFmtId="0" fontId="19" fillId="0" borderId="28" xfId="0" applyFont="1" applyBorder="1" applyAlignment="1">
      <alignment horizontal="left" vertical="top" wrapText="1"/>
    </xf>
    <xf numFmtId="0" fontId="19" fillId="0" borderId="12" xfId="0" applyFont="1" applyBorder="1" applyAlignment="1">
      <alignment vertical="top" wrapText="1"/>
    </xf>
    <xf numFmtId="0" fontId="19" fillId="0" borderId="11" xfId="0" applyFont="1" applyBorder="1" applyAlignment="1">
      <alignment vertical="top" wrapText="1"/>
    </xf>
    <xf numFmtId="0" fontId="19" fillId="0" borderId="11" xfId="0" applyFont="1" applyBorder="1"/>
    <xf numFmtId="0" fontId="20" fillId="0" borderId="48" xfId="0" applyFont="1" applyBorder="1" applyAlignment="1">
      <alignment horizontal="left" vertical="top"/>
    </xf>
    <xf numFmtId="0" fontId="20" fillId="0" borderId="44" xfId="0" applyFont="1" applyBorder="1" applyAlignment="1">
      <alignment horizontal="left" vertical="top"/>
    </xf>
    <xf numFmtId="0" fontId="19" fillId="0" borderId="60" xfId="0" applyFont="1" applyBorder="1"/>
    <xf numFmtId="0" fontId="19" fillId="0" borderId="18" xfId="0" applyFont="1" applyBorder="1"/>
    <xf numFmtId="0" fontId="19" fillId="0" borderId="0" xfId="0" quotePrefix="1" applyFont="1"/>
    <xf numFmtId="0" fontId="19" fillId="41" borderId="0" xfId="0" applyFont="1" applyFill="1"/>
    <xf numFmtId="0" fontId="19" fillId="40" borderId="0" xfId="0" applyFont="1" applyFill="1"/>
    <xf numFmtId="0" fontId="19" fillId="41" borderId="0" xfId="57" applyFont="1"/>
    <xf numFmtId="0" fontId="19" fillId="40" borderId="0" xfId="56" applyFont="1"/>
    <xf numFmtId="49" fontId="0" fillId="0" borderId="0" xfId="0" applyNumberFormat="1"/>
    <xf numFmtId="0" fontId="19" fillId="0" borderId="0" xfId="59"/>
    <xf numFmtId="0" fontId="19" fillId="47" borderId="0" xfId="59" applyFill="1"/>
    <xf numFmtId="0" fontId="19" fillId="0" borderId="33" xfId="59" applyBorder="1" applyAlignment="1">
      <alignment horizontal="left"/>
    </xf>
    <xf numFmtId="0" fontId="19" fillId="0" borderId="0" xfId="59" applyAlignment="1">
      <alignment horizontal="left"/>
    </xf>
    <xf numFmtId="0" fontId="19" fillId="0" borderId="34" xfId="59" applyBorder="1" applyAlignment="1">
      <alignment horizontal="left" vertical="top" wrapText="1"/>
    </xf>
    <xf numFmtId="0" fontId="19" fillId="0" borderId="11" xfId="59" applyBorder="1"/>
    <xf numFmtId="0" fontId="19" fillId="0" borderId="11" xfId="59" applyBorder="1" applyAlignment="1">
      <alignment horizontal="left"/>
    </xf>
    <xf numFmtId="0" fontId="19" fillId="0" borderId="34" xfId="59" applyBorder="1" applyAlignment="1">
      <alignment horizontal="left"/>
    </xf>
    <xf numFmtId="0" fontId="19" fillId="0" borderId="36" xfId="59" applyBorder="1"/>
    <xf numFmtId="0" fontId="19" fillId="0" borderId="35" xfId="59" applyBorder="1"/>
    <xf numFmtId="0" fontId="19" fillId="0" borderId="37" xfId="59" applyBorder="1"/>
    <xf numFmtId="0" fontId="19" fillId="0" borderId="33" xfId="59" applyBorder="1"/>
    <xf numFmtId="0" fontId="19" fillId="0" borderId="34" xfId="59" applyBorder="1"/>
    <xf numFmtId="0" fontId="19" fillId="0" borderId="0" xfId="59" applyAlignment="1">
      <alignment horizontal="left" wrapText="1"/>
    </xf>
    <xf numFmtId="0" fontId="56" fillId="0" borderId="0" xfId="59" applyFont="1" applyAlignment="1">
      <alignment horizontal="left" wrapText="1"/>
    </xf>
    <xf numFmtId="0" fontId="19" fillId="0" borderId="34" xfId="59" applyBorder="1" applyAlignment="1">
      <alignment horizontal="left" wrapText="1"/>
    </xf>
    <xf numFmtId="0" fontId="19" fillId="0" borderId="33" xfId="59" applyBorder="1" applyAlignment="1">
      <alignment horizontal="left" wrapText="1"/>
    </xf>
    <xf numFmtId="0" fontId="29" fillId="0" borderId="0" xfId="59" applyFont="1"/>
    <xf numFmtId="0" fontId="29" fillId="0" borderId="0" xfId="59" applyFont="1" applyAlignment="1">
      <alignment horizontal="left"/>
    </xf>
    <xf numFmtId="0" fontId="20" fillId="46" borderId="21" xfId="59" applyFont="1" applyFill="1" applyBorder="1" applyAlignment="1">
      <alignment horizontal="left" wrapText="1"/>
    </xf>
    <xf numFmtId="0" fontId="20" fillId="46" borderId="40" xfId="59" applyFont="1" applyFill="1" applyBorder="1" applyAlignment="1">
      <alignment horizontal="left" wrapText="1"/>
    </xf>
    <xf numFmtId="0" fontId="20" fillId="46" borderId="20" xfId="59" applyFont="1" applyFill="1" applyBorder="1" applyAlignment="1">
      <alignment horizontal="left" wrapText="1"/>
    </xf>
    <xf numFmtId="0" fontId="20" fillId="47" borderId="0" xfId="59" applyFont="1" applyFill="1" applyAlignment="1">
      <alignment horizontal="left"/>
    </xf>
    <xf numFmtId="0" fontId="20" fillId="46" borderId="35" xfId="59" applyFont="1" applyFill="1" applyBorder="1" applyAlignment="1">
      <alignment horizontal="left" wrapText="1"/>
    </xf>
    <xf numFmtId="0" fontId="57" fillId="46" borderId="20" xfId="59" applyFont="1" applyFill="1" applyBorder="1" applyAlignment="1">
      <alignment horizontal="left" wrapText="1"/>
    </xf>
    <xf numFmtId="0" fontId="58" fillId="0" borderId="0" xfId="60"/>
    <xf numFmtId="49" fontId="19" fillId="34" borderId="11" xfId="59" quotePrefix="1" applyNumberFormat="1" applyFill="1" applyBorder="1"/>
    <xf numFmtId="0" fontId="20" fillId="33" borderId="16" xfId="0" applyFont="1" applyFill="1" applyBorder="1" applyAlignment="1">
      <alignment horizontal="left" vertical="top" wrapText="1"/>
    </xf>
    <xf numFmtId="0" fontId="20" fillId="33" borderId="22" xfId="0" applyFont="1" applyFill="1" applyBorder="1" applyAlignment="1">
      <alignment horizontal="left" vertical="top" wrapText="1"/>
    </xf>
    <xf numFmtId="0" fontId="20" fillId="33" borderId="17" xfId="0" applyFont="1" applyFill="1" applyBorder="1" applyAlignment="1">
      <alignment horizontal="left" vertical="top" wrapText="1"/>
    </xf>
    <xf numFmtId="0" fontId="29" fillId="0" borderId="31" xfId="0" applyFont="1" applyBorder="1"/>
    <xf numFmtId="0" fontId="29" fillId="0" borderId="34" xfId="0" applyFont="1" applyBorder="1"/>
    <xf numFmtId="0" fontId="29" fillId="0" borderId="37" xfId="0" applyFont="1" applyBorder="1"/>
    <xf numFmtId="0" fontId="44" fillId="0" borderId="40" xfId="0" applyFont="1" applyBorder="1"/>
    <xf numFmtId="0" fontId="44" fillId="0" borderId="21" xfId="0" applyFont="1" applyBorder="1"/>
    <xf numFmtId="0" fontId="43" fillId="0" borderId="0" xfId="0" applyFont="1"/>
    <xf numFmtId="0" fontId="45" fillId="0" borderId="0" xfId="0" applyFont="1"/>
    <xf numFmtId="0" fontId="60" fillId="0" borderId="0" xfId="0" applyFont="1"/>
    <xf numFmtId="9" fontId="29" fillId="0" borderId="34" xfId="0" applyNumberFormat="1" applyFont="1" applyBorder="1" applyAlignment="1">
      <alignment horizontal="center"/>
    </xf>
    <xf numFmtId="10" fontId="29" fillId="0" borderId="34" xfId="0" applyNumberFormat="1" applyFont="1" applyBorder="1" applyAlignment="1">
      <alignment horizontal="center" vertical="center"/>
    </xf>
    <xf numFmtId="0" fontId="36" fillId="0" borderId="18" xfId="0" applyFont="1" applyBorder="1" applyAlignment="1">
      <alignment horizontal="center" vertical="center" wrapText="1"/>
    </xf>
    <xf numFmtId="0" fontId="61" fillId="0" borderId="0" xfId="0" applyFont="1"/>
    <xf numFmtId="0" fontId="62" fillId="0" borderId="0" xfId="0" applyFont="1"/>
    <xf numFmtId="0" fontId="29" fillId="0" borderId="13" xfId="0" applyFont="1" applyBorder="1"/>
    <xf numFmtId="0" fontId="61" fillId="0" borderId="14" xfId="0" applyFont="1" applyBorder="1"/>
    <xf numFmtId="0" fontId="23" fillId="0" borderId="0" xfId="0" applyFont="1" applyAlignment="1">
      <alignment horizontal="left"/>
    </xf>
    <xf numFmtId="0" fontId="43" fillId="0" borderId="0" xfId="0" applyFont="1" applyAlignment="1">
      <alignment horizontal="left"/>
    </xf>
    <xf numFmtId="0" fontId="49" fillId="0" borderId="0" xfId="0" applyFont="1" applyAlignment="1">
      <alignment horizontal="left"/>
    </xf>
    <xf numFmtId="0" fontId="29" fillId="0" borderId="15" xfId="0" applyFont="1" applyBorder="1" applyAlignment="1">
      <alignment horizontal="left"/>
    </xf>
    <xf numFmtId="0" fontId="19" fillId="0" borderId="40" xfId="0" applyFont="1" applyBorder="1" applyAlignment="1">
      <alignment horizontal="left"/>
    </xf>
    <xf numFmtId="0" fontId="19" fillId="0" borderId="0" xfId="0" applyFont="1" applyAlignment="1">
      <alignment horizontal="left"/>
    </xf>
    <xf numFmtId="0" fontId="36" fillId="0" borderId="0" xfId="0" applyFont="1" applyAlignment="1">
      <alignment wrapText="1"/>
    </xf>
    <xf numFmtId="0" fontId="29" fillId="0" borderId="0" xfId="0" applyFont="1" applyAlignment="1">
      <alignment vertical="center" wrapText="1"/>
    </xf>
    <xf numFmtId="0" fontId="19" fillId="0" borderId="34" xfId="0" applyFont="1" applyBorder="1" applyAlignment="1">
      <alignment wrapText="1"/>
    </xf>
    <xf numFmtId="0" fontId="20" fillId="0" borderId="22" xfId="0" applyFont="1" applyBorder="1" applyAlignment="1">
      <alignment horizontal="left" vertical="top"/>
    </xf>
    <xf numFmtId="0" fontId="19" fillId="0" borderId="48" xfId="0" applyFont="1" applyBorder="1" applyAlignment="1">
      <alignment vertical="top" wrapText="1"/>
    </xf>
    <xf numFmtId="0" fontId="19" fillId="0" borderId="28" xfId="0" applyFont="1" applyBorder="1" applyAlignment="1">
      <alignment vertical="top" wrapText="1"/>
    </xf>
    <xf numFmtId="0" fontId="56" fillId="0" borderId="0" xfId="0" applyFont="1"/>
    <xf numFmtId="0" fontId="64" fillId="0" borderId="14" xfId="0" applyFont="1" applyBorder="1"/>
    <xf numFmtId="0" fontId="56" fillId="0" borderId="37" xfId="0" applyFont="1" applyBorder="1" applyAlignment="1">
      <alignment horizontal="left" vertical="top" wrapText="1"/>
    </xf>
    <xf numFmtId="2" fontId="53" fillId="40" borderId="34" xfId="0" applyNumberFormat="1" applyFont="1" applyFill="1" applyBorder="1" applyAlignment="1">
      <alignment horizontal="left" indent="2"/>
    </xf>
    <xf numFmtId="2" fontId="53" fillId="40" borderId="0" xfId="0" applyNumberFormat="1" applyFont="1" applyFill="1" applyAlignment="1">
      <alignment horizontal="left" indent="2"/>
    </xf>
    <xf numFmtId="0" fontId="31" fillId="0" borderId="37" xfId="0" applyFont="1" applyBorder="1" applyAlignment="1">
      <alignment vertical="center"/>
    </xf>
    <xf numFmtId="0" fontId="29" fillId="0" borderId="35" xfId="0" applyFont="1" applyBorder="1" applyAlignment="1">
      <alignment vertical="center"/>
    </xf>
    <xf numFmtId="0" fontId="29" fillId="0" borderId="36" xfId="0" applyFont="1" applyBorder="1"/>
    <xf numFmtId="0" fontId="29" fillId="0" borderId="35" xfId="0" applyFont="1" applyBorder="1" applyAlignment="1">
      <alignment vertical="center" wrapText="1"/>
    </xf>
    <xf numFmtId="2" fontId="51" fillId="40" borderId="0" xfId="0" applyNumberFormat="1" applyFont="1" applyFill="1" applyAlignment="1">
      <alignment horizontal="left" indent="2"/>
    </xf>
    <xf numFmtId="0" fontId="29" fillId="0" borderId="0" xfId="0" applyFont="1" applyAlignment="1">
      <alignment horizontal="left" indent="2"/>
    </xf>
    <xf numFmtId="0" fontId="46" fillId="0" borderId="0" xfId="0" applyFont="1" applyAlignment="1">
      <alignment horizontal="left" indent="2"/>
    </xf>
    <xf numFmtId="0" fontId="56" fillId="0" borderId="15" xfId="0" applyFont="1" applyBorder="1" applyAlignment="1">
      <alignment horizontal="left"/>
    </xf>
    <xf numFmtId="0" fontId="56" fillId="0" borderId="14" xfId="0" applyFont="1" applyBorder="1" applyAlignment="1">
      <alignment horizontal="left"/>
    </xf>
    <xf numFmtId="0" fontId="29" fillId="0" borderId="14" xfId="0" applyFont="1" applyBorder="1" applyAlignment="1">
      <alignment horizontal="left"/>
    </xf>
    <xf numFmtId="0" fontId="29" fillId="0" borderId="14" xfId="0" applyFont="1" applyBorder="1" applyAlignment="1">
      <alignment wrapText="1"/>
    </xf>
    <xf numFmtId="0" fontId="19" fillId="34" borderId="12" xfId="0" applyFont="1" applyFill="1" applyBorder="1" applyAlignment="1" applyProtection="1">
      <alignment horizontal="left" vertical="top"/>
      <protection locked="0"/>
    </xf>
    <xf numFmtId="0" fontId="19" fillId="34" borderId="11" xfId="0" applyFont="1" applyFill="1" applyBorder="1" applyAlignment="1" applyProtection="1">
      <alignment horizontal="left" vertical="top"/>
      <protection locked="0"/>
    </xf>
    <xf numFmtId="0" fontId="29" fillId="34" borderId="11" xfId="0" applyFont="1" applyFill="1" applyBorder="1" applyAlignment="1" applyProtection="1">
      <alignment horizontal="left" vertical="top" wrapText="1"/>
      <protection locked="0"/>
    </xf>
    <xf numFmtId="0" fontId="19" fillId="34" borderId="11" xfId="54">
      <alignment horizontal="left" vertical="top" wrapText="1"/>
      <protection locked="0"/>
    </xf>
    <xf numFmtId="9" fontId="19" fillId="34" borderId="11" xfId="0" applyNumberFormat="1" applyFont="1" applyFill="1" applyBorder="1" applyAlignment="1" applyProtection="1">
      <alignment horizontal="left" vertical="top"/>
      <protection locked="0"/>
    </xf>
    <xf numFmtId="0" fontId="19" fillId="34" borderId="45" xfId="0" applyFont="1" applyFill="1" applyBorder="1" applyAlignment="1" applyProtection="1">
      <alignment horizontal="left" vertical="top"/>
      <protection locked="0"/>
    </xf>
    <xf numFmtId="0" fontId="19" fillId="34" borderId="48" xfId="0" applyFont="1" applyFill="1" applyBorder="1" applyAlignment="1" applyProtection="1">
      <alignment horizontal="left" vertical="top"/>
      <protection locked="0"/>
    </xf>
    <xf numFmtId="0" fontId="19" fillId="34" borderId="18" xfId="0" applyFont="1" applyFill="1" applyBorder="1" applyAlignment="1" applyProtection="1">
      <alignment horizontal="left" vertical="top"/>
      <protection locked="0"/>
    </xf>
    <xf numFmtId="0" fontId="29" fillId="0" borderId="11" xfId="0" applyFont="1" applyBorder="1" applyAlignment="1">
      <alignment horizontal="left" vertical="top"/>
    </xf>
    <xf numFmtId="0" fontId="29" fillId="0" borderId="28" xfId="0" applyFont="1" applyBorder="1" applyAlignment="1">
      <alignment horizontal="left" vertical="top"/>
    </xf>
    <xf numFmtId="0" fontId="29" fillId="0" borderId="48" xfId="0" applyFont="1" applyBorder="1" applyAlignment="1">
      <alignment horizontal="left" vertical="top"/>
    </xf>
    <xf numFmtId="168" fontId="29" fillId="0" borderId="28" xfId="0" applyNumberFormat="1" applyFont="1" applyBorder="1" applyAlignment="1">
      <alignment horizontal="left" vertical="top"/>
    </xf>
    <xf numFmtId="0" fontId="19" fillId="0" borderId="79" xfId="0" applyFont="1" applyBorder="1" applyAlignment="1">
      <alignment horizontal="left" vertical="top" wrapText="1"/>
    </xf>
    <xf numFmtId="0" fontId="19" fillId="0" borderId="80" xfId="0" applyFont="1" applyBorder="1" applyAlignment="1">
      <alignment horizontal="left" vertical="top" wrapText="1"/>
    </xf>
    <xf numFmtId="0" fontId="20" fillId="0" borderId="70" xfId="0" applyFont="1" applyBorder="1" applyAlignment="1">
      <alignment horizontal="left" vertical="top"/>
    </xf>
    <xf numFmtId="0" fontId="20" fillId="33" borderId="60" xfId="0" applyFont="1" applyFill="1" applyBorder="1" applyAlignment="1">
      <alignment horizontal="left" vertical="top" wrapText="1"/>
    </xf>
    <xf numFmtId="0" fontId="20" fillId="33" borderId="70" xfId="0" applyFont="1" applyFill="1" applyBorder="1" applyAlignment="1">
      <alignment horizontal="left" vertical="top" wrapText="1"/>
    </xf>
    <xf numFmtId="165" fontId="29" fillId="34" borderId="45" xfId="0" applyNumberFormat="1" applyFont="1" applyFill="1" applyBorder="1" applyAlignment="1" applyProtection="1">
      <alignment horizontal="left" vertical="top" wrapText="1"/>
      <protection locked="0"/>
    </xf>
    <xf numFmtId="9" fontId="19" fillId="34" borderId="45" xfId="0" applyNumberFormat="1" applyFont="1" applyFill="1" applyBorder="1" applyAlignment="1" applyProtection="1">
      <alignment horizontal="left" vertical="top"/>
      <protection locked="0"/>
    </xf>
    <xf numFmtId="0" fontId="19" fillId="34" borderId="45" xfId="54" applyBorder="1">
      <alignment horizontal="left" vertical="top" wrapText="1"/>
      <protection locked="0"/>
    </xf>
    <xf numFmtId="0" fontId="19" fillId="0" borderId="22" xfId="0" applyFont="1" applyBorder="1" applyAlignment="1">
      <alignment vertical="top" wrapText="1"/>
    </xf>
    <xf numFmtId="0" fontId="19" fillId="0" borderId="16" xfId="0" applyFont="1" applyBorder="1" applyAlignment="1">
      <alignment vertical="top" wrapText="1"/>
    </xf>
    <xf numFmtId="168" fontId="29" fillId="0" borderId="18" xfId="0" applyNumberFormat="1" applyFont="1" applyBorder="1" applyAlignment="1">
      <alignment horizontal="left" vertical="top"/>
    </xf>
    <xf numFmtId="0" fontId="19" fillId="0" borderId="43" xfId="0" applyFont="1" applyBorder="1" applyAlignment="1">
      <alignment horizontal="left" vertical="top" wrapText="1"/>
    </xf>
    <xf numFmtId="0" fontId="19" fillId="0" borderId="38" xfId="0" applyFont="1" applyBorder="1" applyAlignment="1">
      <alignment horizontal="left" vertical="top" wrapText="1"/>
    </xf>
    <xf numFmtId="0" fontId="29" fillId="0" borderId="38" xfId="0" applyFont="1" applyBorder="1" applyAlignment="1">
      <alignment horizontal="left" vertical="top" wrapText="1"/>
    </xf>
    <xf numFmtId="0" fontId="19" fillId="0" borderId="38" xfId="0" applyFont="1" applyBorder="1" applyAlignment="1">
      <alignment horizontal="left" vertical="top"/>
    </xf>
    <xf numFmtId="0" fontId="19" fillId="0" borderId="65" xfId="0" applyFont="1" applyBorder="1" applyAlignment="1">
      <alignment vertical="top" wrapText="1"/>
    </xf>
    <xf numFmtId="0" fontId="19" fillId="0" borderId="38" xfId="0" applyFont="1" applyBorder="1" applyAlignment="1">
      <alignment vertical="top" wrapText="1"/>
    </xf>
    <xf numFmtId="0" fontId="19" fillId="0" borderId="46" xfId="0" applyFont="1" applyBorder="1" applyAlignment="1">
      <alignment vertical="top" wrapText="1"/>
    </xf>
    <xf numFmtId="0" fontId="19" fillId="0" borderId="65" xfId="0" applyFont="1" applyBorder="1" applyAlignment="1">
      <alignment horizontal="left" vertical="top" wrapText="1"/>
    </xf>
    <xf numFmtId="0" fontId="19" fillId="0" borderId="46" xfId="0" applyFont="1" applyBorder="1" applyAlignment="1">
      <alignment horizontal="left" vertical="top" wrapText="1"/>
    </xf>
    <xf numFmtId="0" fontId="19" fillId="0" borderId="72" xfId="0" applyFont="1" applyBorder="1" applyAlignment="1">
      <alignment vertical="top" wrapText="1"/>
    </xf>
    <xf numFmtId="0" fontId="19" fillId="43" borderId="13" xfId="0" applyFont="1" applyFill="1" applyBorder="1"/>
    <xf numFmtId="0" fontId="42" fillId="43" borderId="15" xfId="0" applyFont="1" applyFill="1" applyBorder="1"/>
    <xf numFmtId="165" fontId="42" fillId="43" borderId="15" xfId="0" applyNumberFormat="1" applyFont="1" applyFill="1" applyBorder="1" applyAlignment="1">
      <alignment horizontal="left" vertical="top"/>
    </xf>
    <xf numFmtId="0" fontId="42" fillId="43" borderId="14" xfId="0" applyFont="1" applyFill="1" applyBorder="1"/>
    <xf numFmtId="0" fontId="19" fillId="43" borderId="15" xfId="0" applyFont="1" applyFill="1" applyBorder="1"/>
    <xf numFmtId="0" fontId="19" fillId="0" borderId="23" xfId="0" applyFont="1" applyBorder="1" applyAlignment="1">
      <alignment vertical="top" wrapText="1"/>
    </xf>
    <xf numFmtId="0" fontId="19" fillId="0" borderId="25" xfId="0" applyFont="1" applyBorder="1" applyAlignment="1">
      <alignment vertical="top" wrapText="1"/>
    </xf>
    <xf numFmtId="0" fontId="19" fillId="0" borderId="64" xfId="0" applyFont="1" applyBorder="1" applyAlignment="1">
      <alignment vertical="top" wrapText="1"/>
    </xf>
    <xf numFmtId="0" fontId="30" fillId="0" borderId="72" xfId="0" applyFont="1" applyBorder="1" applyAlignment="1">
      <alignment horizontal="left" vertical="top" wrapText="1"/>
    </xf>
    <xf numFmtId="0" fontId="29" fillId="0" borderId="25" xfId="0" applyFont="1" applyBorder="1" applyAlignment="1">
      <alignment horizontal="left" vertical="top"/>
    </xf>
    <xf numFmtId="0" fontId="29" fillId="0" borderId="64" xfId="0" applyFont="1" applyBorder="1" applyAlignment="1">
      <alignment horizontal="left" vertical="top" wrapText="1"/>
    </xf>
    <xf numFmtId="0" fontId="19" fillId="0" borderId="25" xfId="0" applyFont="1" applyBorder="1" applyAlignment="1">
      <alignment horizontal="left" vertical="top"/>
    </xf>
    <xf numFmtId="0" fontId="19" fillId="43" borderId="13" xfId="0" applyFont="1" applyFill="1" applyBorder="1" applyAlignment="1">
      <alignment horizontal="left" vertical="top"/>
    </xf>
    <xf numFmtId="0" fontId="42" fillId="43" borderId="15" xfId="0" applyFont="1" applyFill="1" applyBorder="1" applyAlignment="1">
      <alignment horizontal="left" vertical="top"/>
    </xf>
    <xf numFmtId="0" fontId="42" fillId="43" borderId="14" xfId="0" applyFont="1" applyFill="1" applyBorder="1" applyAlignment="1">
      <alignment horizontal="left" vertical="top"/>
    </xf>
    <xf numFmtId="0" fontId="19" fillId="43" borderId="15" xfId="0" applyFont="1" applyFill="1" applyBorder="1" applyAlignment="1">
      <alignment horizontal="left" vertical="top"/>
    </xf>
    <xf numFmtId="0" fontId="20" fillId="0" borderId="22" xfId="0" applyFont="1" applyBorder="1" applyAlignment="1">
      <alignment vertical="top"/>
    </xf>
    <xf numFmtId="0" fontId="19" fillId="0" borderId="0" xfId="0" applyFont="1" applyAlignment="1">
      <alignment vertical="top"/>
    </xf>
    <xf numFmtId="0" fontId="30" fillId="0" borderId="22" xfId="0" applyFont="1" applyBorder="1" applyAlignment="1">
      <alignment vertical="top" wrapText="1"/>
    </xf>
    <xf numFmtId="0" fontId="30" fillId="0" borderId="10" xfId="0" applyFont="1" applyBorder="1" applyAlignment="1">
      <alignment horizontal="left" vertical="top" wrapText="1"/>
    </xf>
    <xf numFmtId="0" fontId="30" fillId="0" borderId="10" xfId="0" applyFont="1" applyBorder="1" applyAlignment="1">
      <alignment vertical="top" wrapText="1"/>
    </xf>
    <xf numFmtId="0" fontId="30" fillId="0" borderId="72" xfId="0" applyFont="1" applyBorder="1" applyAlignment="1">
      <alignment vertical="top" wrapText="1"/>
    </xf>
    <xf numFmtId="0" fontId="49" fillId="0" borderId="0" xfId="0" applyFont="1" applyAlignment="1">
      <alignment horizontal="left" vertical="top"/>
    </xf>
    <xf numFmtId="0" fontId="19" fillId="34" borderId="25" xfId="0" applyFont="1" applyFill="1" applyBorder="1" applyAlignment="1" applyProtection="1">
      <alignment horizontal="left" vertical="top"/>
      <protection locked="0"/>
    </xf>
    <xf numFmtId="0" fontId="19" fillId="34" borderId="11" xfId="0" applyFont="1" applyFill="1" applyBorder="1" applyAlignment="1" applyProtection="1">
      <alignment vertical="top"/>
      <protection locked="0"/>
    </xf>
    <xf numFmtId="165" fontId="29" fillId="34" borderId="11" xfId="0" applyNumberFormat="1" applyFont="1" applyFill="1" applyBorder="1" applyAlignment="1" applyProtection="1">
      <alignment vertical="top" wrapText="1"/>
      <protection locked="0"/>
    </xf>
    <xf numFmtId="9" fontId="19" fillId="34" borderId="11" xfId="0" applyNumberFormat="1" applyFont="1" applyFill="1" applyBorder="1" applyAlignment="1" applyProtection="1">
      <alignment vertical="top"/>
      <protection locked="0"/>
    </xf>
    <xf numFmtId="0" fontId="42" fillId="43" borderId="0" xfId="0" applyFont="1" applyFill="1" applyAlignment="1">
      <alignment horizontal="left" vertical="top"/>
    </xf>
    <xf numFmtId="0" fontId="42" fillId="43" borderId="0" xfId="0" applyFont="1" applyFill="1" applyAlignment="1">
      <alignment horizontal="left" vertical="top" wrapText="1"/>
    </xf>
    <xf numFmtId="0" fontId="29" fillId="0" borderId="18" xfId="0" applyFont="1" applyBorder="1" applyAlignment="1">
      <alignment horizontal="left" vertical="top"/>
    </xf>
    <xf numFmtId="0" fontId="42" fillId="43" borderId="35" xfId="0" applyFont="1" applyFill="1" applyBorder="1" applyAlignment="1">
      <alignment horizontal="left" vertical="top"/>
    </xf>
    <xf numFmtId="0" fontId="19" fillId="34" borderId="46" xfId="0" applyFont="1" applyFill="1" applyBorder="1" applyAlignment="1" applyProtection="1">
      <alignment horizontal="left" vertical="top"/>
      <protection locked="0"/>
    </xf>
    <xf numFmtId="0" fontId="23" fillId="33" borderId="20" xfId="0" applyFont="1" applyFill="1" applyBorder="1" applyAlignment="1">
      <alignment vertical="top"/>
    </xf>
    <xf numFmtId="0" fontId="19" fillId="43" borderId="13" xfId="0" applyFont="1" applyFill="1" applyBorder="1" applyAlignment="1">
      <alignment vertical="top"/>
    </xf>
    <xf numFmtId="0" fontId="42" fillId="43" borderId="15" xfId="0" applyFont="1" applyFill="1" applyBorder="1" applyAlignment="1">
      <alignment vertical="top"/>
    </xf>
    <xf numFmtId="0" fontId="19" fillId="0" borderId="11" xfId="0" applyFont="1" applyBorder="1" applyAlignment="1">
      <alignment vertical="top"/>
    </xf>
    <xf numFmtId="0" fontId="20" fillId="0" borderId="11" xfId="0" applyFont="1" applyBorder="1" applyAlignment="1">
      <alignment vertical="top" wrapText="1"/>
    </xf>
    <xf numFmtId="0" fontId="29" fillId="0" borderId="25" xfId="0" applyFont="1" applyBorder="1" applyAlignment="1">
      <alignment vertical="top" wrapText="1"/>
    </xf>
    <xf numFmtId="0" fontId="29" fillId="0" borderId="11" xfId="0" applyFont="1" applyBorder="1" applyAlignment="1">
      <alignment vertical="top" wrapText="1"/>
    </xf>
    <xf numFmtId="3" fontId="19" fillId="34" borderId="11" xfId="0" applyNumberFormat="1" applyFont="1" applyFill="1" applyBorder="1" applyAlignment="1" applyProtection="1">
      <alignment vertical="top"/>
      <protection locked="0"/>
    </xf>
    <xf numFmtId="0" fontId="42" fillId="43" borderId="15" xfId="0" applyFont="1" applyFill="1" applyBorder="1" applyAlignment="1">
      <alignment vertical="top" wrapText="1"/>
    </xf>
    <xf numFmtId="0" fontId="19" fillId="34" borderId="11" xfId="54" applyAlignment="1">
      <alignment vertical="top" wrapText="1"/>
      <protection locked="0"/>
    </xf>
    <xf numFmtId="0" fontId="19" fillId="0" borderId="25" xfId="0" applyFont="1" applyBorder="1" applyAlignment="1">
      <alignment vertical="top"/>
    </xf>
    <xf numFmtId="9" fontId="19" fillId="34" borderId="18" xfId="0" applyNumberFormat="1" applyFont="1" applyFill="1" applyBorder="1" applyAlignment="1" applyProtection="1">
      <alignment vertical="top"/>
      <protection locked="0"/>
    </xf>
    <xf numFmtId="165" fontId="42" fillId="43" borderId="15" xfId="0" applyNumberFormat="1" applyFont="1" applyFill="1" applyBorder="1" applyAlignment="1">
      <alignment vertical="top"/>
    </xf>
    <xf numFmtId="0" fontId="29" fillId="0" borderId="64" xfId="0" applyFont="1" applyBorder="1" applyAlignment="1">
      <alignment vertical="top" wrapText="1"/>
    </xf>
    <xf numFmtId="0" fontId="19" fillId="0" borderId="18" xfId="0" applyFont="1" applyBorder="1" applyAlignment="1">
      <alignment vertical="top"/>
    </xf>
    <xf numFmtId="0" fontId="19" fillId="43" borderId="10" xfId="0" applyFont="1" applyFill="1" applyBorder="1" applyAlignment="1">
      <alignment vertical="top"/>
    </xf>
    <xf numFmtId="0" fontId="29" fillId="43" borderId="22" xfId="0" applyFont="1" applyFill="1" applyBorder="1" applyAlignment="1">
      <alignment vertical="top"/>
    </xf>
    <xf numFmtId="0" fontId="19" fillId="0" borderId="12" xfId="0" applyFont="1" applyBorder="1" applyAlignment="1">
      <alignment vertical="top"/>
    </xf>
    <xf numFmtId="168" fontId="29" fillId="0" borderId="12" xfId="0" applyNumberFormat="1" applyFont="1" applyBorder="1" applyAlignment="1">
      <alignment vertical="top"/>
    </xf>
    <xf numFmtId="168" fontId="29" fillId="0" borderId="11" xfId="0" applyNumberFormat="1" applyFont="1" applyBorder="1" applyAlignment="1">
      <alignment vertical="top"/>
    </xf>
    <xf numFmtId="0" fontId="42" fillId="43" borderId="14" xfId="0" applyFont="1" applyFill="1" applyBorder="1" applyAlignment="1">
      <alignment vertical="top"/>
    </xf>
    <xf numFmtId="0" fontId="19" fillId="0" borderId="28" xfId="0" applyFont="1" applyBorder="1" applyAlignment="1">
      <alignment vertical="top"/>
    </xf>
    <xf numFmtId="168" fontId="29" fillId="0" borderId="28" xfId="0" applyNumberFormat="1" applyFont="1" applyBorder="1" applyAlignment="1">
      <alignment vertical="top"/>
    </xf>
    <xf numFmtId="0" fontId="19" fillId="43" borderId="15" xfId="0" applyFont="1" applyFill="1" applyBorder="1" applyAlignment="1">
      <alignment vertical="top"/>
    </xf>
    <xf numFmtId="168" fontId="29" fillId="0" borderId="48" xfId="0" applyNumberFormat="1" applyFont="1" applyBorder="1" applyAlignment="1">
      <alignment vertical="top"/>
    </xf>
    <xf numFmtId="168" fontId="29" fillId="0" borderId="18" xfId="0" applyNumberFormat="1" applyFont="1" applyBorder="1" applyAlignment="1">
      <alignment vertical="top"/>
    </xf>
    <xf numFmtId="0" fontId="19" fillId="0" borderId="37" xfId="0" applyFont="1" applyBorder="1" applyAlignment="1">
      <alignment vertical="top" wrapText="1"/>
    </xf>
    <xf numFmtId="0" fontId="19" fillId="33" borderId="21" xfId="0" applyFont="1" applyFill="1" applyBorder="1" applyAlignment="1">
      <alignment vertical="top"/>
    </xf>
    <xf numFmtId="0" fontId="30" fillId="0" borderId="73" xfId="0" applyFont="1" applyBorder="1" applyAlignment="1">
      <alignment horizontal="left" vertical="top" wrapText="1"/>
    </xf>
    <xf numFmtId="168" fontId="19" fillId="0" borderId="11" xfId="0" applyNumberFormat="1" applyFont="1" applyBorder="1" applyAlignment="1">
      <alignment horizontal="left" vertical="top"/>
    </xf>
    <xf numFmtId="168" fontId="19" fillId="0" borderId="28" xfId="0" applyNumberFormat="1" applyFont="1" applyBorder="1" applyAlignment="1">
      <alignment horizontal="left" vertical="top"/>
    </xf>
    <xf numFmtId="168" fontId="19" fillId="0" borderId="18" xfId="0" applyNumberFormat="1" applyFont="1" applyBorder="1" applyAlignment="1">
      <alignment horizontal="left" vertical="top"/>
    </xf>
    <xf numFmtId="0" fontId="29" fillId="0" borderId="65" xfId="0" applyFont="1" applyBorder="1" applyAlignment="1">
      <alignment horizontal="left" vertical="top" wrapText="1"/>
    </xf>
    <xf numFmtId="0" fontId="29" fillId="0" borderId="38" xfId="0" applyFont="1" applyBorder="1" applyAlignment="1">
      <alignment horizontal="left" vertical="top"/>
    </xf>
    <xf numFmtId="0" fontId="29" fillId="0" borderId="66" xfId="0" applyFont="1" applyBorder="1" applyAlignment="1">
      <alignment horizontal="left" vertical="top" wrapText="1"/>
    </xf>
    <xf numFmtId="0" fontId="19" fillId="0" borderId="66" xfId="0" applyFont="1" applyBorder="1" applyAlignment="1">
      <alignment horizontal="left" vertical="top" wrapText="1"/>
    </xf>
    <xf numFmtId="165" fontId="19" fillId="43" borderId="13" xfId="0" applyNumberFormat="1" applyFont="1" applyFill="1" applyBorder="1" applyAlignment="1">
      <alignment horizontal="left" vertical="top"/>
    </xf>
    <xf numFmtId="165" fontId="19" fillId="43" borderId="15" xfId="0" applyNumberFormat="1" applyFont="1" applyFill="1" applyBorder="1" applyAlignment="1">
      <alignment horizontal="left" vertical="top"/>
    </xf>
    <xf numFmtId="165" fontId="42" fillId="43" borderId="15" xfId="0" applyNumberFormat="1" applyFont="1" applyFill="1" applyBorder="1" applyAlignment="1">
      <alignment horizontal="left" vertical="top" wrapText="1"/>
    </xf>
    <xf numFmtId="165" fontId="42" fillId="43" borderId="14" xfId="0" applyNumberFormat="1" applyFont="1" applyFill="1" applyBorder="1" applyAlignment="1">
      <alignment horizontal="left" vertical="top"/>
    </xf>
    <xf numFmtId="0" fontId="25" fillId="38" borderId="29" xfId="0" applyFont="1" applyFill="1" applyBorder="1" applyAlignment="1" applyProtection="1">
      <alignment horizontal="left" vertical="top"/>
      <protection locked="0"/>
    </xf>
    <xf numFmtId="0" fontId="20" fillId="33" borderId="73" xfId="0" applyFont="1" applyFill="1" applyBorder="1" applyAlignment="1">
      <alignment horizontal="left" vertical="top" wrapText="1"/>
    </xf>
    <xf numFmtId="0" fontId="20" fillId="33" borderId="78" xfId="0" applyFont="1" applyFill="1" applyBorder="1" applyAlignment="1">
      <alignment horizontal="left" vertical="top" wrapText="1"/>
    </xf>
    <xf numFmtId="49" fontId="20" fillId="0" borderId="43" xfId="50" applyBorder="1">
      <alignment horizontal="left" vertical="top" wrapText="1"/>
    </xf>
    <xf numFmtId="49" fontId="20" fillId="0" borderId="44" xfId="50" applyBorder="1">
      <alignment horizontal="left" vertical="top" wrapText="1"/>
    </xf>
    <xf numFmtId="0" fontId="19" fillId="0" borderId="38" xfId="49" applyBorder="1">
      <alignment horizontal="left" vertical="top" wrapText="1"/>
    </xf>
    <xf numFmtId="0" fontId="19" fillId="0" borderId="46" xfId="49" applyBorder="1">
      <alignment horizontal="left" vertical="top" wrapText="1"/>
    </xf>
    <xf numFmtId="0" fontId="19" fillId="34" borderId="47" xfId="54" applyBorder="1">
      <alignment horizontal="left" vertical="top" wrapText="1"/>
      <protection locked="0"/>
    </xf>
    <xf numFmtId="49" fontId="30" fillId="0" borderId="43" xfId="50" applyFont="1" applyBorder="1">
      <alignment horizontal="left" vertical="top" wrapText="1"/>
    </xf>
    <xf numFmtId="49" fontId="30" fillId="0" borderId="44" xfId="50" applyFont="1" applyBorder="1">
      <alignment horizontal="left" vertical="top" wrapText="1"/>
    </xf>
    <xf numFmtId="0" fontId="29" fillId="0" borderId="38" xfId="49" applyFont="1" applyBorder="1">
      <alignment horizontal="left" vertical="top" wrapText="1"/>
    </xf>
    <xf numFmtId="0" fontId="29" fillId="0" borderId="46" xfId="49" applyFont="1" applyBorder="1">
      <alignment horizontal="left" vertical="top" wrapText="1"/>
    </xf>
    <xf numFmtId="49" fontId="20" fillId="0" borderId="59" xfId="50" applyBorder="1">
      <alignment horizontal="left" vertical="top" wrapText="1"/>
    </xf>
    <xf numFmtId="0" fontId="19" fillId="34" borderId="74" xfId="54" applyBorder="1">
      <alignment horizontal="left" vertical="top" wrapText="1"/>
      <protection locked="0"/>
    </xf>
    <xf numFmtId="0" fontId="19" fillId="34" borderId="76" xfId="54" applyBorder="1">
      <alignment horizontal="left" vertical="top" wrapText="1"/>
      <protection locked="0"/>
    </xf>
    <xf numFmtId="0" fontId="19" fillId="0" borderId="0" xfId="0" applyFont="1" applyAlignment="1">
      <alignment horizontal="left" vertical="top" wrapText="1"/>
    </xf>
    <xf numFmtId="0" fontId="30" fillId="34" borderId="10" xfId="0" applyFont="1" applyFill="1" applyBorder="1" applyAlignment="1" applyProtection="1">
      <alignment horizontal="left" vertical="top"/>
      <protection locked="0"/>
    </xf>
    <xf numFmtId="0" fontId="29" fillId="0" borderId="13" xfId="0" applyFont="1" applyBorder="1" applyAlignment="1">
      <alignment horizontal="left" vertical="top"/>
    </xf>
    <xf numFmtId="0" fontId="29" fillId="0" borderId="15" xfId="0" applyFont="1" applyBorder="1" applyAlignment="1">
      <alignment horizontal="left" vertical="top"/>
    </xf>
    <xf numFmtId="0" fontId="29" fillId="0" borderId="14" xfId="0" applyFont="1" applyBorder="1" applyAlignment="1">
      <alignment horizontal="left" vertical="top"/>
    </xf>
    <xf numFmtId="0" fontId="42" fillId="0" borderId="0" xfId="0" quotePrefix="1" applyFont="1" applyAlignment="1">
      <alignment horizontal="left" vertical="top"/>
    </xf>
    <xf numFmtId="0" fontId="42" fillId="0" borderId="0" xfId="0" applyFont="1" applyAlignment="1">
      <alignment horizontal="left" vertical="top"/>
    </xf>
    <xf numFmtId="0" fontId="29" fillId="0" borderId="45" xfId="0" applyFont="1" applyBorder="1" applyAlignment="1">
      <alignment horizontal="left" vertical="top"/>
    </xf>
    <xf numFmtId="0" fontId="29" fillId="0" borderId="47" xfId="0" applyFont="1" applyBorder="1" applyAlignment="1">
      <alignment horizontal="left" vertical="top"/>
    </xf>
    <xf numFmtId="0" fontId="19" fillId="0" borderId="45" xfId="0" applyFont="1" applyBorder="1" applyAlignment="1">
      <alignment horizontal="left" vertical="top"/>
    </xf>
    <xf numFmtId="0" fontId="19" fillId="0" borderId="47" xfId="0" applyFont="1" applyBorder="1" applyAlignment="1">
      <alignment horizontal="left" vertical="top"/>
    </xf>
    <xf numFmtId="0" fontId="29" fillId="0" borderId="15" xfId="0" quotePrefix="1" applyFont="1" applyBorder="1" applyAlignment="1">
      <alignment horizontal="left" vertical="top"/>
    </xf>
    <xf numFmtId="0" fontId="29" fillId="0" borderId="14" xfId="0" quotePrefix="1" applyFont="1" applyBorder="1" applyAlignment="1">
      <alignment horizontal="left" vertical="top"/>
    </xf>
    <xf numFmtId="0" fontId="29" fillId="0" borderId="13" xfId="0" quotePrefix="1" applyFont="1" applyBorder="1" applyAlignment="1">
      <alignment horizontal="left" vertical="top"/>
    </xf>
    <xf numFmtId="0" fontId="19" fillId="0" borderId="22" xfId="0" applyFont="1" applyBorder="1" applyAlignment="1">
      <alignment horizontal="left" vertical="top"/>
    </xf>
    <xf numFmtId="0" fontId="19" fillId="34" borderId="22" xfId="0" applyFont="1" applyFill="1" applyBorder="1" applyAlignment="1" applyProtection="1">
      <alignment horizontal="left" vertical="top"/>
      <protection locked="0"/>
    </xf>
    <xf numFmtId="0" fontId="30" fillId="0" borderId="10" xfId="0" applyFont="1" applyBorder="1" applyAlignment="1">
      <alignment horizontal="left" vertical="top"/>
    </xf>
    <xf numFmtId="0" fontId="19" fillId="0" borderId="0" xfId="0" applyFont="1" applyAlignment="1">
      <alignment horizontal="left" vertical="top"/>
    </xf>
    <xf numFmtId="0" fontId="29" fillId="0" borderId="43" xfId="0" applyFont="1" applyBorder="1" applyAlignment="1">
      <alignment horizontal="left" vertical="top" wrapText="1"/>
    </xf>
    <xf numFmtId="0" fontId="19" fillId="0" borderId="46" xfId="0" applyFont="1" applyBorder="1" applyAlignment="1">
      <alignment horizontal="left" vertical="top"/>
    </xf>
    <xf numFmtId="0" fontId="19" fillId="0" borderId="10" xfId="0" applyFont="1" applyBorder="1" applyAlignment="1">
      <alignment vertical="top" wrapText="1"/>
    </xf>
    <xf numFmtId="0" fontId="19" fillId="34" borderId="83" xfId="0" applyFont="1" applyFill="1" applyBorder="1" applyAlignment="1" applyProtection="1">
      <alignment horizontal="left" vertical="top"/>
      <protection locked="0"/>
    </xf>
    <xf numFmtId="0" fontId="49" fillId="0" borderId="34" xfId="0" applyFont="1" applyBorder="1"/>
    <xf numFmtId="0" fontId="19" fillId="0" borderId="34" xfId="0" applyFont="1" applyBorder="1" applyAlignment="1">
      <alignment horizontal="left" vertical="top"/>
    </xf>
    <xf numFmtId="0" fontId="19" fillId="0" borderId="34" xfId="0" applyFont="1" applyBorder="1"/>
    <xf numFmtId="0" fontId="19" fillId="0" borderId="66" xfId="0" applyFont="1" applyBorder="1" applyAlignment="1">
      <alignment vertical="top" wrapText="1"/>
    </xf>
    <xf numFmtId="0" fontId="19" fillId="0" borderId="43" xfId="0" applyFont="1" applyBorder="1" applyAlignment="1">
      <alignment vertical="top" wrapText="1"/>
    </xf>
    <xf numFmtId="0" fontId="42" fillId="0" borderId="0" xfId="0" quotePrefix="1" applyFont="1"/>
    <xf numFmtId="0" fontId="19" fillId="0" borderId="31" xfId="0" quotePrefix="1" applyFont="1" applyBorder="1"/>
    <xf numFmtId="0" fontId="19" fillId="0" borderId="32" xfId="0" applyFont="1" applyBorder="1"/>
    <xf numFmtId="0" fontId="19" fillId="0" borderId="33" xfId="0" applyFont="1" applyBorder="1"/>
    <xf numFmtId="0" fontId="19" fillId="0" borderId="37" xfId="0" quotePrefix="1" applyFont="1" applyBorder="1"/>
    <xf numFmtId="0" fontId="19" fillId="0" borderId="36" xfId="0" applyFont="1" applyBorder="1"/>
    <xf numFmtId="0" fontId="25" fillId="38" borderId="45" xfId="0" applyFont="1" applyFill="1" applyBorder="1" applyAlignment="1" applyProtection="1">
      <alignment wrapText="1"/>
      <protection locked="0"/>
    </xf>
    <xf numFmtId="0" fontId="19" fillId="0" borderId="31" xfId="0" applyFont="1" applyBorder="1"/>
    <xf numFmtId="0" fontId="19" fillId="0" borderId="37" xfId="0" applyFont="1" applyBorder="1"/>
    <xf numFmtId="0" fontId="19" fillId="0" borderId="38" xfId="0" applyFont="1" applyBorder="1"/>
    <xf numFmtId="0" fontId="19" fillId="34" borderId="45" xfId="0" applyFont="1" applyFill="1" applyBorder="1" applyAlignment="1" applyProtection="1">
      <alignment horizontal="left" vertical="top" wrapText="1"/>
      <protection locked="0"/>
    </xf>
    <xf numFmtId="0" fontId="56" fillId="0" borderId="34" xfId="0" applyFont="1" applyBorder="1"/>
    <xf numFmtId="0" fontId="19" fillId="34" borderId="47" xfId="0" applyFont="1" applyFill="1" applyBorder="1" applyAlignment="1" applyProtection="1">
      <alignment horizontal="left" vertical="top" wrapText="1"/>
      <protection locked="0"/>
    </xf>
    <xf numFmtId="0" fontId="56" fillId="0" borderId="37" xfId="0" applyFont="1" applyBorder="1"/>
    <xf numFmtId="0" fontId="19" fillId="0" borderId="25" xfId="0" applyFont="1" applyBorder="1" applyAlignment="1">
      <alignment horizontal="left" vertical="top" wrapText="1"/>
    </xf>
    <xf numFmtId="0" fontId="19" fillId="34" borderId="26" xfId="0" applyFont="1" applyFill="1" applyBorder="1" applyAlignment="1" applyProtection="1">
      <alignment horizontal="left" vertical="top"/>
      <protection locked="0"/>
    </xf>
    <xf numFmtId="0" fontId="19" fillId="34" borderId="11" xfId="0" applyFont="1" applyFill="1" applyBorder="1" applyAlignment="1" applyProtection="1">
      <alignment horizontal="left" vertical="top" wrapText="1"/>
      <protection locked="0"/>
    </xf>
    <xf numFmtId="0" fontId="19" fillId="0" borderId="23" xfId="0" applyFont="1" applyBorder="1" applyAlignment="1">
      <alignment horizontal="left" vertical="top"/>
    </xf>
    <xf numFmtId="0" fontId="30" fillId="33" borderId="20" xfId="0" applyFont="1" applyFill="1" applyBorder="1" applyAlignment="1">
      <alignment horizontal="left" vertical="top"/>
    </xf>
    <xf numFmtId="0" fontId="19" fillId="33" borderId="40" xfId="0" applyFont="1" applyFill="1" applyBorder="1" applyAlignment="1">
      <alignment horizontal="left" vertical="top"/>
    </xf>
    <xf numFmtId="0" fontId="19" fillId="33" borderId="21" xfId="0" applyFont="1" applyFill="1" applyBorder="1" applyAlignment="1">
      <alignment horizontal="left" vertical="top"/>
    </xf>
    <xf numFmtId="0" fontId="19" fillId="34" borderId="65" xfId="0" applyFont="1" applyFill="1" applyBorder="1" applyAlignment="1" applyProtection="1">
      <alignment horizontal="left" vertical="top"/>
      <protection locked="0"/>
    </xf>
    <xf numFmtId="0" fontId="19" fillId="34" borderId="38" xfId="0" applyFont="1" applyFill="1" applyBorder="1" applyAlignment="1" applyProtection="1">
      <alignment horizontal="left" vertical="top"/>
      <protection locked="0"/>
    </xf>
    <xf numFmtId="0" fontId="20" fillId="43" borderId="37" xfId="0" applyFont="1" applyFill="1" applyBorder="1" applyAlignment="1">
      <alignment horizontal="left" vertical="top"/>
    </xf>
    <xf numFmtId="0" fontId="19" fillId="43" borderId="35" xfId="0" applyFont="1" applyFill="1" applyBorder="1" applyAlignment="1">
      <alignment horizontal="left" vertical="top"/>
    </xf>
    <xf numFmtId="0" fontId="19" fillId="43" borderId="36" xfId="0" applyFont="1" applyFill="1" applyBorder="1" applyAlignment="1">
      <alignment horizontal="left" vertical="top"/>
    </xf>
    <xf numFmtId="0" fontId="29" fillId="0" borderId="48" xfId="0" applyFont="1" applyBorder="1" applyAlignment="1">
      <alignment horizontal="left" vertical="top" wrapText="1"/>
    </xf>
    <xf numFmtId="0" fontId="29" fillId="0" borderId="12" xfId="0" quotePrefix="1" applyFont="1" applyBorder="1" applyAlignment="1">
      <alignment horizontal="left" vertical="top" wrapText="1"/>
    </xf>
    <xf numFmtId="0" fontId="19" fillId="43" borderId="30" xfId="0" applyFont="1" applyFill="1" applyBorder="1" applyAlignment="1">
      <alignment horizontal="left" vertical="top" wrapText="1"/>
    </xf>
    <xf numFmtId="0" fontId="29" fillId="0" borderId="23" xfId="0" applyFont="1" applyBorder="1" applyAlignment="1">
      <alignment horizontal="left" vertical="top" wrapText="1"/>
    </xf>
    <xf numFmtId="168" fontId="19" fillId="0" borderId="12" xfId="0" applyNumberFormat="1" applyFont="1" applyBorder="1" applyAlignment="1">
      <alignment horizontal="left" vertical="top" wrapText="1"/>
    </xf>
    <xf numFmtId="0" fontId="29" fillId="0" borderId="25" xfId="0" applyFont="1" applyBorder="1" applyAlignment="1">
      <alignment horizontal="left" vertical="top" wrapText="1"/>
    </xf>
    <xf numFmtId="168" fontId="29" fillId="0" borderId="11" xfId="0" applyNumberFormat="1" applyFont="1" applyBorder="1" applyAlignment="1">
      <alignment horizontal="left" vertical="top" wrapText="1"/>
    </xf>
    <xf numFmtId="0" fontId="19" fillId="43" borderId="0" xfId="0" applyFont="1" applyFill="1" applyAlignment="1">
      <alignment horizontal="left" vertical="top" wrapText="1"/>
    </xf>
    <xf numFmtId="168" fontId="29" fillId="0" borderId="12" xfId="0" applyNumberFormat="1" applyFont="1" applyBorder="1" applyAlignment="1">
      <alignment horizontal="left" vertical="top" wrapText="1"/>
    </xf>
    <xf numFmtId="168" fontId="19" fillId="0" borderId="11" xfId="0" applyNumberFormat="1" applyFont="1" applyBorder="1" applyAlignment="1">
      <alignment horizontal="left" vertical="top" wrapText="1"/>
    </xf>
    <xf numFmtId="168" fontId="19" fillId="0" borderId="48" xfId="0" applyNumberFormat="1" applyFont="1" applyBorder="1" applyAlignment="1">
      <alignment horizontal="left" vertical="top" wrapText="1"/>
    </xf>
    <xf numFmtId="0" fontId="36" fillId="0" borderId="0" xfId="0" applyFont="1" applyAlignment="1">
      <alignment horizontal="center" vertical="center" wrapText="1"/>
    </xf>
    <xf numFmtId="0" fontId="0" fillId="0" borderId="0" xfId="0" applyAlignment="1">
      <alignment horizontal="center"/>
    </xf>
    <xf numFmtId="169" fontId="19" fillId="0" borderId="38" xfId="0" applyNumberFormat="1" applyFont="1" applyBorder="1" applyAlignment="1">
      <alignment horizontal="left" vertical="top"/>
    </xf>
    <xf numFmtId="169" fontId="19" fillId="0" borderId="11" xfId="0" applyNumberFormat="1" applyFont="1" applyBorder="1" applyAlignment="1">
      <alignment horizontal="left" vertical="top"/>
    </xf>
    <xf numFmtId="169" fontId="19" fillId="0" borderId="26" xfId="0" applyNumberFormat="1" applyFont="1" applyBorder="1" applyAlignment="1">
      <alignment horizontal="left" vertical="top"/>
    </xf>
    <xf numFmtId="0" fontId="19" fillId="0" borderId="26" xfId="0" applyFont="1" applyBorder="1" applyAlignment="1">
      <alignment horizontal="left" vertical="top"/>
    </xf>
    <xf numFmtId="9" fontId="19" fillId="0" borderId="11" xfId="54" applyNumberFormat="1" applyFill="1" applyProtection="1">
      <alignment horizontal="left" vertical="top" wrapText="1"/>
    </xf>
    <xf numFmtId="9" fontId="19" fillId="0" borderId="18" xfId="54" applyNumberFormat="1" applyFill="1" applyBorder="1" applyProtection="1">
      <alignment horizontal="left" vertical="top" wrapText="1"/>
    </xf>
    <xf numFmtId="9" fontId="19" fillId="0" borderId="47" xfId="54" applyNumberFormat="1" applyFill="1" applyBorder="1" applyProtection="1">
      <alignment horizontal="left" vertical="top" wrapText="1"/>
    </xf>
    <xf numFmtId="9" fontId="19" fillId="0" borderId="28" xfId="0" applyNumberFormat="1" applyFont="1" applyBorder="1" applyAlignment="1">
      <alignment horizontal="left" vertical="top"/>
    </xf>
    <xf numFmtId="9" fontId="19" fillId="0" borderId="18" xfId="0" applyNumberFormat="1" applyFont="1" applyBorder="1" applyAlignment="1">
      <alignment horizontal="left" vertical="top"/>
    </xf>
    <xf numFmtId="9" fontId="19" fillId="0" borderId="47" xfId="0" applyNumberFormat="1" applyFont="1" applyBorder="1" applyAlignment="1">
      <alignment horizontal="left" vertical="top"/>
    </xf>
    <xf numFmtId="168" fontId="19" fillId="0" borderId="65" xfId="0" applyNumberFormat="1" applyFont="1" applyBorder="1" applyAlignment="1">
      <alignment horizontal="left" vertical="top"/>
    </xf>
    <xf numFmtId="168" fontId="19" fillId="0" borderId="12" xfId="0" applyNumberFormat="1" applyFont="1" applyBorder="1" applyAlignment="1">
      <alignment horizontal="left" vertical="top"/>
    </xf>
    <xf numFmtId="168" fontId="19" fillId="0" borderId="67" xfId="0" applyNumberFormat="1" applyFont="1" applyBorder="1" applyAlignment="1">
      <alignment horizontal="left" vertical="top"/>
    </xf>
    <xf numFmtId="168" fontId="19" fillId="0" borderId="38" xfId="0" applyNumberFormat="1" applyFont="1" applyBorder="1" applyAlignment="1">
      <alignment horizontal="left" vertical="top"/>
    </xf>
    <xf numFmtId="168" fontId="19" fillId="0" borderId="45" xfId="0" applyNumberFormat="1" applyFont="1" applyBorder="1" applyAlignment="1">
      <alignment horizontal="left" vertical="top"/>
    </xf>
    <xf numFmtId="168" fontId="19" fillId="0" borderId="46" xfId="0" applyNumberFormat="1" applyFont="1" applyBorder="1" applyAlignment="1">
      <alignment horizontal="left" vertical="top"/>
    </xf>
    <xf numFmtId="168" fontId="19" fillId="0" borderId="47" xfId="0" applyNumberFormat="1" applyFont="1" applyBorder="1" applyAlignment="1">
      <alignment horizontal="left" vertical="top"/>
    </xf>
    <xf numFmtId="168" fontId="19" fillId="0" borderId="24" xfId="0" applyNumberFormat="1" applyFont="1" applyBorder="1" applyAlignment="1">
      <alignment horizontal="left" vertical="top"/>
    </xf>
    <xf numFmtId="168" fontId="19" fillId="0" borderId="26" xfId="0" applyNumberFormat="1" applyFont="1" applyBorder="1" applyAlignment="1">
      <alignment horizontal="left" vertical="top"/>
    </xf>
    <xf numFmtId="168" fontId="19" fillId="0" borderId="66" xfId="0" applyNumberFormat="1" applyFont="1" applyBorder="1" applyAlignment="1">
      <alignment horizontal="left" vertical="top"/>
    </xf>
    <xf numFmtId="168" fontId="19" fillId="0" borderId="29" xfId="0" applyNumberFormat="1" applyFont="1" applyBorder="1" applyAlignment="1">
      <alignment horizontal="left" vertical="top"/>
    </xf>
    <xf numFmtId="168" fontId="19" fillId="0" borderId="69" xfId="0" applyNumberFormat="1" applyFont="1" applyBorder="1" applyAlignment="1">
      <alignment horizontal="left" vertical="top"/>
    </xf>
    <xf numFmtId="168" fontId="19" fillId="0" borderId="48" xfId="0" applyNumberFormat="1" applyFont="1" applyBorder="1" applyAlignment="1">
      <alignment horizontal="left" vertical="top"/>
    </xf>
    <xf numFmtId="168" fontId="19" fillId="0" borderId="44" xfId="0" applyNumberFormat="1" applyFont="1" applyBorder="1" applyAlignment="1">
      <alignment horizontal="left" vertical="top"/>
    </xf>
    <xf numFmtId="9" fontId="19" fillId="0" borderId="11" xfId="54" applyNumberFormat="1" applyFill="1" applyAlignment="1" applyProtection="1">
      <alignment vertical="top" wrapText="1"/>
    </xf>
    <xf numFmtId="3" fontId="19" fillId="34" borderId="11" xfId="0" applyNumberFormat="1" applyFont="1" applyFill="1" applyBorder="1" applyAlignment="1" applyProtection="1">
      <alignment horizontal="left" vertical="top"/>
      <protection locked="0"/>
    </xf>
    <xf numFmtId="0" fontId="20" fillId="0" borderId="70" xfId="0" applyFont="1" applyBorder="1" applyAlignment="1">
      <alignment vertical="top"/>
    </xf>
    <xf numFmtId="0" fontId="30" fillId="0" borderId="73" xfId="0" applyFont="1" applyBorder="1" applyAlignment="1">
      <alignment vertical="top" wrapText="1"/>
    </xf>
    <xf numFmtId="0" fontId="30" fillId="0" borderId="70" xfId="0" applyFont="1" applyBorder="1" applyAlignment="1">
      <alignment vertical="top" wrapText="1"/>
    </xf>
    <xf numFmtId="0" fontId="19" fillId="0" borderId="34" xfId="0" applyFont="1" applyBorder="1" applyAlignment="1">
      <alignment vertical="top"/>
    </xf>
    <xf numFmtId="0" fontId="29" fillId="34" borderId="11" xfId="0" applyFont="1" applyFill="1" applyBorder="1" applyAlignment="1" applyProtection="1">
      <alignment horizontal="left" vertical="top"/>
      <protection locked="0"/>
    </xf>
    <xf numFmtId="0" fontId="19" fillId="0" borderId="75" xfId="0" applyFont="1" applyBorder="1" applyAlignment="1">
      <alignment horizontal="left" vertical="top" wrapText="1"/>
    </xf>
    <xf numFmtId="165" fontId="29" fillId="34" borderId="11" xfId="0" applyNumberFormat="1" applyFont="1" applyFill="1" applyBorder="1" applyAlignment="1" applyProtection="1">
      <alignment horizontal="left" vertical="top" wrapText="1"/>
      <protection locked="0"/>
    </xf>
    <xf numFmtId="168" fontId="19" fillId="34" borderId="39" xfId="0" applyNumberFormat="1" applyFont="1" applyFill="1" applyBorder="1" applyAlignment="1" applyProtection="1">
      <alignment horizontal="left" vertical="top"/>
      <protection locked="0"/>
    </xf>
    <xf numFmtId="0" fontId="29" fillId="34" borderId="25" xfId="0" applyFont="1" applyFill="1" applyBorder="1" applyAlignment="1" applyProtection="1">
      <alignment horizontal="left" vertical="top"/>
      <protection locked="0"/>
    </xf>
    <xf numFmtId="0" fontId="19" fillId="43" borderId="0" xfId="0" applyFont="1" applyFill="1" applyAlignment="1">
      <alignment horizontal="left" vertical="top"/>
    </xf>
    <xf numFmtId="9" fontId="19" fillId="0" borderId="18" xfId="0" applyNumberFormat="1" applyFont="1" applyBorder="1" applyAlignment="1">
      <alignment vertical="top"/>
    </xf>
    <xf numFmtId="0" fontId="19" fillId="34" borderId="45" xfId="0" applyFont="1" applyFill="1" applyBorder="1" applyProtection="1">
      <protection locked="0"/>
    </xf>
    <xf numFmtId="0" fontId="29" fillId="34" borderId="45" xfId="0" applyFont="1" applyFill="1" applyBorder="1" applyAlignment="1" applyProtection="1">
      <alignment horizontal="left" vertical="top" wrapText="1"/>
      <protection locked="0"/>
    </xf>
    <xf numFmtId="0" fontId="21" fillId="0" borderId="0" xfId="51" applyBorder="1" applyAlignment="1">
      <alignment horizontal="left" vertical="top"/>
    </xf>
    <xf numFmtId="0" fontId="19" fillId="0" borderId="35" xfId="0" applyFont="1" applyBorder="1" applyAlignment="1">
      <alignment horizontal="left" vertical="top"/>
    </xf>
    <xf numFmtId="0" fontId="23" fillId="33" borderId="20" xfId="0" applyFont="1" applyFill="1" applyBorder="1" applyAlignment="1">
      <alignment horizontal="left" vertical="top"/>
    </xf>
    <xf numFmtId="0" fontId="63" fillId="33" borderId="20" xfId="0" applyFont="1" applyFill="1" applyBorder="1" applyAlignment="1">
      <alignment horizontal="left" vertical="top"/>
    </xf>
    <xf numFmtId="0" fontId="47" fillId="0" borderId="0" xfId="0" applyFont="1" applyAlignment="1">
      <alignment horizontal="left" vertical="top"/>
    </xf>
    <xf numFmtId="0" fontId="47" fillId="0" borderId="0" xfId="0" applyFont="1"/>
    <xf numFmtId="0" fontId="42" fillId="43" borderId="15" xfId="0" applyFont="1" applyFill="1" applyBorder="1" applyAlignment="1">
      <alignment wrapText="1"/>
    </xf>
    <xf numFmtId="0" fontId="23" fillId="33" borderId="10" xfId="0" applyFont="1" applyFill="1" applyBorder="1" applyAlignment="1">
      <alignment horizontal="left" wrapText="1"/>
    </xf>
    <xf numFmtId="0" fontId="19" fillId="0" borderId="15" xfId="0" applyFont="1" applyBorder="1" applyAlignment="1">
      <alignment horizontal="left" vertical="top" wrapText="1"/>
    </xf>
    <xf numFmtId="0" fontId="19" fillId="0" borderId="14" xfId="0" applyFont="1" applyBorder="1" applyAlignment="1">
      <alignment horizontal="left" vertical="top" wrapText="1"/>
    </xf>
    <xf numFmtId="0" fontId="20" fillId="0" borderId="43" xfId="0" applyFont="1" applyBorder="1" applyAlignment="1">
      <alignment horizontal="left" vertical="top"/>
    </xf>
    <xf numFmtId="0" fontId="19" fillId="33" borderId="40" xfId="0" applyFont="1" applyFill="1" applyBorder="1"/>
    <xf numFmtId="0" fontId="30" fillId="0" borderId="16" xfId="0" applyFont="1" applyBorder="1" applyAlignment="1">
      <alignment horizontal="left" vertical="top" wrapText="1"/>
    </xf>
    <xf numFmtId="0" fontId="20" fillId="0" borderId="17" xfId="0" applyFont="1" applyBorder="1" applyAlignment="1">
      <alignment horizontal="left" vertical="top"/>
    </xf>
    <xf numFmtId="0" fontId="20" fillId="0" borderId="59" xfId="0" applyFont="1" applyBorder="1" applyAlignment="1">
      <alignment horizontal="left" vertical="top"/>
    </xf>
    <xf numFmtId="0" fontId="20" fillId="0" borderId="60" xfId="0" applyFont="1" applyBorder="1" applyAlignment="1">
      <alignment horizontal="left" vertical="top"/>
    </xf>
    <xf numFmtId="165" fontId="19" fillId="43" borderId="82" xfId="0" applyNumberFormat="1" applyFont="1" applyFill="1" applyBorder="1" applyAlignment="1">
      <alignment vertical="top" wrapText="1"/>
    </xf>
    <xf numFmtId="0" fontId="19" fillId="0" borderId="67" xfId="0" applyFont="1" applyBorder="1" applyAlignment="1">
      <alignment vertical="top"/>
    </xf>
    <xf numFmtId="0" fontId="19" fillId="0" borderId="45" xfId="0" applyFont="1" applyBorder="1" applyAlignment="1">
      <alignment vertical="top" wrapText="1"/>
    </xf>
    <xf numFmtId="0" fontId="29" fillId="34" borderId="25" xfId="0" applyFont="1" applyFill="1" applyBorder="1" applyAlignment="1" applyProtection="1">
      <alignment horizontal="left" vertical="top" wrapText="1"/>
      <protection locked="0"/>
    </xf>
    <xf numFmtId="165" fontId="42" fillId="43" borderId="82" xfId="0" applyNumberFormat="1" applyFont="1" applyFill="1" applyBorder="1" applyAlignment="1">
      <alignment vertical="top" wrapText="1"/>
    </xf>
    <xf numFmtId="0" fontId="19" fillId="0" borderId="45" xfId="0" applyFont="1" applyBorder="1" applyAlignment="1">
      <alignment vertical="top"/>
    </xf>
    <xf numFmtId="165" fontId="42" fillId="43" borderId="81" xfId="0" applyNumberFormat="1" applyFont="1" applyFill="1" applyBorder="1" applyAlignment="1">
      <alignment vertical="top" wrapText="1"/>
    </xf>
    <xf numFmtId="165" fontId="19" fillId="43" borderId="42" xfId="0" applyNumberFormat="1" applyFont="1" applyFill="1" applyBorder="1" applyAlignment="1">
      <alignment vertical="top" wrapText="1"/>
    </xf>
    <xf numFmtId="0" fontId="19" fillId="0" borderId="67" xfId="0" applyFont="1" applyBorder="1" applyAlignment="1">
      <alignment vertical="top" wrapText="1"/>
    </xf>
    <xf numFmtId="168" fontId="19" fillId="0" borderId="23" xfId="0" applyNumberFormat="1" applyFont="1" applyBorder="1" applyAlignment="1">
      <alignment horizontal="left" vertical="top" wrapText="1"/>
    </xf>
    <xf numFmtId="168" fontId="19" fillId="0" borderId="25" xfId="0" applyNumberFormat="1" applyFont="1" applyBorder="1" applyAlignment="1">
      <alignment horizontal="left" vertical="top" wrapText="1"/>
    </xf>
    <xf numFmtId="0" fontId="19" fillId="0" borderId="18" xfId="0" applyFont="1" applyBorder="1" applyAlignment="1">
      <alignment vertical="top" wrapText="1"/>
    </xf>
    <xf numFmtId="0" fontId="19" fillId="0" borderId="47" xfId="0" applyFont="1" applyBorder="1" applyAlignment="1">
      <alignment vertical="top" wrapText="1"/>
    </xf>
    <xf numFmtId="168" fontId="29" fillId="0" borderId="64" xfId="0" applyNumberFormat="1" applyFont="1" applyBorder="1" applyAlignment="1">
      <alignment horizontal="left" vertical="top" wrapText="1"/>
    </xf>
    <xf numFmtId="168" fontId="19" fillId="0" borderId="18" xfId="0" applyNumberFormat="1" applyFont="1" applyBorder="1" applyAlignment="1">
      <alignment horizontal="left" vertical="top" wrapText="1"/>
    </xf>
    <xf numFmtId="0" fontId="19" fillId="0" borderId="69" xfId="0" applyFont="1" applyBorder="1" applyAlignment="1">
      <alignment vertical="top" wrapText="1"/>
    </xf>
    <xf numFmtId="168" fontId="19" fillId="0" borderId="27" xfId="0" applyNumberFormat="1" applyFont="1" applyBorder="1" applyAlignment="1">
      <alignment horizontal="left" vertical="top" wrapText="1"/>
    </xf>
    <xf numFmtId="168" fontId="19" fillId="0" borderId="28" xfId="0" applyNumberFormat="1" applyFont="1" applyBorder="1" applyAlignment="1">
      <alignment horizontal="left" vertical="top" wrapText="1"/>
    </xf>
    <xf numFmtId="168" fontId="19" fillId="0" borderId="75" xfId="0" applyNumberFormat="1" applyFont="1" applyBorder="1" applyAlignment="1">
      <alignment horizontal="left" vertical="top" wrapText="1"/>
    </xf>
    <xf numFmtId="168" fontId="19" fillId="0" borderId="64" xfId="0" applyNumberFormat="1" applyFont="1" applyBorder="1" applyAlignment="1">
      <alignment horizontal="left" vertical="top" wrapText="1"/>
    </xf>
    <xf numFmtId="0" fontId="19" fillId="0" borderId="44" xfId="0" applyFont="1" applyBorder="1" applyAlignment="1">
      <alignment vertical="top" wrapText="1"/>
    </xf>
    <xf numFmtId="165" fontId="19" fillId="0" borderId="64" xfId="0" applyNumberFormat="1" applyFont="1" applyBorder="1" applyAlignment="1">
      <alignment horizontal="left" vertical="top" wrapText="1"/>
    </xf>
    <xf numFmtId="165" fontId="19" fillId="0" borderId="18" xfId="0" applyNumberFormat="1" applyFont="1" applyBorder="1" applyAlignment="1">
      <alignment horizontal="left" vertical="top" wrapText="1"/>
    </xf>
    <xf numFmtId="0" fontId="19" fillId="0" borderId="27" xfId="0" applyFont="1" applyBorder="1" applyAlignment="1">
      <alignment vertical="top" wrapText="1"/>
    </xf>
    <xf numFmtId="165" fontId="19" fillId="0" borderId="0" xfId="0" applyNumberFormat="1" applyFont="1" applyAlignment="1">
      <alignment wrapText="1"/>
    </xf>
    <xf numFmtId="0" fontId="19" fillId="0" borderId="15" xfId="0" applyFont="1" applyBorder="1" applyAlignment="1">
      <alignment wrapText="1"/>
    </xf>
    <xf numFmtId="0" fontId="20" fillId="0" borderId="15" xfId="0" applyFont="1" applyBorder="1" applyAlignment="1">
      <alignment wrapText="1"/>
    </xf>
    <xf numFmtId="0" fontId="19" fillId="0" borderId="14" xfId="0" applyFont="1" applyBorder="1" applyAlignment="1">
      <alignment wrapText="1"/>
    </xf>
    <xf numFmtId="0" fontId="19" fillId="33" borderId="21" xfId="0" applyFont="1" applyFill="1" applyBorder="1"/>
    <xf numFmtId="0" fontId="49" fillId="33" borderId="21" xfId="0" applyFont="1" applyFill="1" applyBorder="1"/>
    <xf numFmtId="0" fontId="19" fillId="34" borderId="67" xfId="0" applyFont="1" applyFill="1" applyBorder="1" applyAlignment="1" applyProtection="1">
      <alignment horizontal="left" vertical="top" wrapText="1"/>
      <protection locked="0"/>
    </xf>
    <xf numFmtId="0" fontId="19" fillId="34" borderId="81" xfId="0" applyFont="1" applyFill="1" applyBorder="1" applyAlignment="1" applyProtection="1">
      <alignment horizontal="left" vertical="top" wrapText="1"/>
      <protection locked="0"/>
    </xf>
    <xf numFmtId="0" fontId="19" fillId="34" borderId="27" xfId="0" applyFont="1" applyFill="1" applyBorder="1" applyAlignment="1" applyProtection="1">
      <alignment horizontal="left" vertical="top" wrapText="1"/>
      <protection locked="0"/>
    </xf>
    <xf numFmtId="0" fontId="19" fillId="34" borderId="66" xfId="0" applyFont="1" applyFill="1" applyBorder="1" applyAlignment="1" applyProtection="1">
      <alignment horizontal="left" vertical="top" wrapText="1"/>
      <protection locked="0"/>
    </xf>
    <xf numFmtId="0" fontId="19" fillId="34" borderId="46" xfId="0" applyFont="1" applyFill="1" applyBorder="1" applyAlignment="1" applyProtection="1">
      <alignment horizontal="left" vertical="top" wrapText="1"/>
      <protection locked="0"/>
    </xf>
    <xf numFmtId="164" fontId="29" fillId="34" borderId="18" xfId="0" applyNumberFormat="1" applyFont="1" applyFill="1" applyBorder="1" applyAlignment="1" applyProtection="1">
      <alignment vertical="top" wrapText="1"/>
      <protection locked="0"/>
    </xf>
    <xf numFmtId="0" fontId="19" fillId="34" borderId="71" xfId="0" applyFont="1" applyFill="1" applyBorder="1" applyAlignment="1" applyProtection="1">
      <alignment horizontal="left" vertical="top" wrapText="1"/>
      <protection locked="0"/>
    </xf>
    <xf numFmtId="0" fontId="19" fillId="34" borderId="72" xfId="0" applyFont="1" applyFill="1" applyBorder="1" applyAlignment="1" applyProtection="1">
      <alignment horizontal="left" vertical="top" wrapText="1"/>
      <protection locked="0"/>
    </xf>
    <xf numFmtId="0" fontId="19" fillId="34" borderId="22" xfId="0" applyFont="1" applyFill="1" applyBorder="1" applyAlignment="1" applyProtection="1">
      <alignment horizontal="left" vertical="top" wrapText="1"/>
      <protection locked="0"/>
    </xf>
    <xf numFmtId="0" fontId="21" fillId="0" borderId="34" xfId="51" applyBorder="1">
      <alignment horizontal="left" vertical="top" wrapText="1"/>
    </xf>
    <xf numFmtId="0" fontId="19" fillId="0" borderId="34" xfId="0" applyFont="1" applyBorder="1" applyAlignment="1">
      <alignment horizontal="left" vertical="top" wrapText="1"/>
    </xf>
    <xf numFmtId="0" fontId="19" fillId="0" borderId="33" xfId="0" applyFont="1" applyBorder="1" applyAlignment="1">
      <alignment horizontal="left" vertical="top"/>
    </xf>
    <xf numFmtId="0" fontId="21" fillId="0" borderId="34" xfId="51" applyBorder="1" applyAlignment="1">
      <alignment horizontal="left" vertical="top"/>
    </xf>
    <xf numFmtId="0" fontId="19" fillId="0" borderId="33" xfId="0" applyFont="1" applyBorder="1" applyAlignment="1">
      <alignment wrapText="1"/>
    </xf>
    <xf numFmtId="0" fontId="29" fillId="34" borderId="11" xfId="0" applyFont="1" applyFill="1" applyBorder="1" applyAlignment="1" applyProtection="1">
      <alignment vertical="top"/>
      <protection locked="0"/>
    </xf>
    <xf numFmtId="0" fontId="29" fillId="0" borderId="29" xfId="0" applyFont="1" applyBorder="1" applyAlignment="1">
      <alignment horizontal="left" vertical="top" wrapText="1"/>
    </xf>
    <xf numFmtId="0" fontId="27" fillId="0" borderId="37" xfId="0" applyFont="1" applyBorder="1" applyAlignment="1">
      <alignment wrapText="1"/>
    </xf>
    <xf numFmtId="0" fontId="0" fillId="0" borderId="33" xfId="0" applyBorder="1"/>
    <xf numFmtId="0" fontId="63" fillId="33" borderId="68" xfId="0" applyFont="1" applyFill="1" applyBorder="1" applyAlignment="1">
      <alignment horizontal="left" vertical="top"/>
    </xf>
    <xf numFmtId="0" fontId="63" fillId="33" borderId="85" xfId="0" applyFont="1" applyFill="1" applyBorder="1" applyAlignment="1">
      <alignment horizontal="left" vertical="top"/>
    </xf>
    <xf numFmtId="0" fontId="63" fillId="33" borderId="77" xfId="0" applyFont="1" applyFill="1" applyBorder="1" applyAlignment="1">
      <alignment horizontal="left" vertical="top"/>
    </xf>
    <xf numFmtId="0" fontId="19" fillId="0" borderId="30" xfId="0" applyFont="1" applyBorder="1"/>
    <xf numFmtId="0" fontId="30" fillId="0" borderId="0" xfId="0" applyFont="1" applyAlignment="1">
      <alignment horizontal="center" vertical="center" wrapText="1"/>
    </xf>
    <xf numFmtId="0" fontId="29" fillId="0" borderId="0" xfId="0" applyFont="1" applyAlignment="1">
      <alignment horizontal="center" vertical="center" wrapText="1"/>
    </xf>
    <xf numFmtId="0" fontId="19" fillId="34" borderId="67" xfId="0" applyFont="1" applyFill="1" applyBorder="1" applyAlignment="1" applyProtection="1">
      <alignment horizontal="left" vertical="top"/>
      <protection locked="0"/>
    </xf>
    <xf numFmtId="0" fontId="19" fillId="34" borderId="44" xfId="0" applyFont="1" applyFill="1" applyBorder="1" applyAlignment="1" applyProtection="1">
      <alignment horizontal="left" vertical="top"/>
      <protection locked="0"/>
    </xf>
    <xf numFmtId="0" fontId="19" fillId="34" borderId="12" xfId="0" applyFont="1" applyFill="1" applyBorder="1" applyAlignment="1" applyProtection="1">
      <alignment vertical="top"/>
      <protection locked="0"/>
    </xf>
    <xf numFmtId="0" fontId="19" fillId="34" borderId="23" xfId="0" applyFont="1" applyFill="1" applyBorder="1" applyAlignment="1" applyProtection="1">
      <alignment horizontal="left" vertical="top"/>
      <protection locked="0"/>
    </xf>
    <xf numFmtId="0" fontId="19" fillId="34" borderId="43" xfId="0" applyFont="1" applyFill="1" applyBorder="1" applyAlignment="1" applyProtection="1">
      <alignment horizontal="left" vertical="top"/>
      <protection locked="0"/>
    </xf>
    <xf numFmtId="165" fontId="29" fillId="34" borderId="38" xfId="0" applyNumberFormat="1" applyFont="1" applyFill="1" applyBorder="1" applyAlignment="1" applyProtection="1">
      <alignment horizontal="left" vertical="top" wrapText="1"/>
      <protection locked="0"/>
    </xf>
    <xf numFmtId="0" fontId="29" fillId="34" borderId="38" xfId="0" applyFont="1" applyFill="1" applyBorder="1" applyAlignment="1" applyProtection="1">
      <alignment horizontal="left" vertical="top" wrapText="1"/>
      <protection locked="0"/>
    </xf>
    <xf numFmtId="0" fontId="19" fillId="34" borderId="38" xfId="54" applyBorder="1">
      <alignment horizontal="left" vertical="top" wrapText="1"/>
      <protection locked="0"/>
    </xf>
    <xf numFmtId="9" fontId="19" fillId="0" borderId="46" xfId="54" applyNumberFormat="1" applyFill="1" applyBorder="1" applyProtection="1">
      <alignment horizontal="left" vertical="top" wrapText="1"/>
    </xf>
    <xf numFmtId="9" fontId="19" fillId="34" borderId="38" xfId="0" applyNumberFormat="1" applyFont="1" applyFill="1" applyBorder="1" applyAlignment="1" applyProtection="1">
      <alignment horizontal="left" vertical="top"/>
      <protection locked="0"/>
    </xf>
    <xf numFmtId="0" fontId="20" fillId="0" borderId="24" xfId="0" applyFont="1" applyBorder="1" applyAlignment="1">
      <alignment horizontal="left" vertical="top"/>
    </xf>
    <xf numFmtId="0" fontId="19" fillId="34" borderId="24" xfId="0" applyFont="1" applyFill="1" applyBorder="1" applyAlignment="1" applyProtection="1">
      <alignment horizontal="left" vertical="top"/>
      <protection locked="0"/>
    </xf>
    <xf numFmtId="0" fontId="19" fillId="34" borderId="88" xfId="0" applyFont="1" applyFill="1" applyBorder="1" applyAlignment="1" applyProtection="1">
      <alignment horizontal="left" vertical="top"/>
      <protection locked="0"/>
    </xf>
    <xf numFmtId="165" fontId="29" fillId="34" borderId="26" xfId="0" applyNumberFormat="1" applyFont="1" applyFill="1" applyBorder="1" applyAlignment="1" applyProtection="1">
      <alignment horizontal="left" vertical="top" wrapText="1"/>
      <protection locked="0"/>
    </xf>
    <xf numFmtId="0" fontId="29" fillId="34" borderId="26" xfId="0" applyFont="1" applyFill="1" applyBorder="1" applyAlignment="1" applyProtection="1">
      <alignment horizontal="left" vertical="top" wrapText="1"/>
      <protection locked="0"/>
    </xf>
    <xf numFmtId="0" fontId="19" fillId="34" borderId="26" xfId="54" applyBorder="1">
      <alignment horizontal="left" vertical="top" wrapText="1"/>
      <protection locked="0"/>
    </xf>
    <xf numFmtId="9" fontId="19" fillId="0" borderId="89" xfId="54" applyNumberFormat="1" applyFill="1" applyBorder="1" applyProtection="1">
      <alignment horizontal="left" vertical="top" wrapText="1"/>
    </xf>
    <xf numFmtId="9" fontId="19" fillId="34" borderId="26" xfId="0" applyNumberFormat="1" applyFont="1" applyFill="1" applyBorder="1" applyAlignment="1" applyProtection="1">
      <alignment horizontal="left" vertical="top"/>
      <protection locked="0"/>
    </xf>
    <xf numFmtId="168" fontId="19" fillId="34" borderId="48" xfId="0" applyNumberFormat="1" applyFont="1" applyFill="1" applyBorder="1" applyAlignment="1" applyProtection="1">
      <alignment horizontal="left" vertical="top"/>
      <protection locked="0"/>
    </xf>
    <xf numFmtId="170" fontId="19" fillId="0" borderId="11" xfId="0" applyNumberFormat="1" applyFont="1" applyBorder="1" applyAlignment="1">
      <alignment horizontal="left" vertical="top"/>
    </xf>
    <xf numFmtId="170" fontId="19" fillId="0" borderId="26" xfId="0" applyNumberFormat="1" applyFont="1" applyBorder="1" applyAlignment="1">
      <alignment horizontal="left" vertical="top"/>
    </xf>
    <xf numFmtId="170" fontId="19" fillId="0" borderId="38" xfId="0" applyNumberFormat="1" applyFont="1" applyBorder="1" applyAlignment="1">
      <alignment horizontal="left" vertical="top"/>
    </xf>
    <xf numFmtId="170" fontId="19" fillId="34" borderId="12" xfId="0" applyNumberFormat="1" applyFont="1" applyFill="1" applyBorder="1" applyAlignment="1" applyProtection="1">
      <alignment horizontal="left" vertical="top"/>
      <protection locked="0"/>
    </xf>
    <xf numFmtId="170" fontId="19" fillId="34" borderId="67" xfId="0" applyNumberFormat="1" applyFont="1" applyFill="1" applyBorder="1" applyAlignment="1" applyProtection="1">
      <alignment horizontal="left" vertical="top"/>
      <protection locked="0"/>
    </xf>
    <xf numFmtId="170" fontId="19" fillId="34" borderId="11" xfId="0" applyNumberFormat="1" applyFont="1" applyFill="1" applyBorder="1" applyAlignment="1" applyProtection="1">
      <alignment horizontal="left" vertical="top"/>
      <protection locked="0"/>
    </xf>
    <xf numFmtId="170" fontId="19" fillId="34" borderId="45" xfId="0" applyNumberFormat="1" applyFont="1" applyFill="1" applyBorder="1" applyAlignment="1" applyProtection="1">
      <alignment horizontal="left" vertical="top"/>
      <protection locked="0"/>
    </xf>
    <xf numFmtId="170" fontId="19" fillId="34" borderId="18" xfId="0" applyNumberFormat="1" applyFont="1" applyFill="1" applyBorder="1" applyAlignment="1" applyProtection="1">
      <alignment horizontal="left" vertical="top"/>
      <protection locked="0"/>
    </xf>
    <xf numFmtId="170" fontId="19" fillId="34" borderId="47" xfId="0" applyNumberFormat="1" applyFont="1" applyFill="1" applyBorder="1" applyAlignment="1" applyProtection="1">
      <alignment horizontal="left" vertical="top"/>
      <protection locked="0"/>
    </xf>
    <xf numFmtId="170" fontId="19" fillId="34" borderId="73" xfId="0" applyNumberFormat="1" applyFont="1" applyFill="1" applyBorder="1" applyAlignment="1" applyProtection="1">
      <alignment horizontal="left" vertical="top"/>
      <protection locked="0"/>
    </xf>
    <xf numFmtId="170" fontId="19" fillId="34" borderId="70" xfId="0" applyNumberFormat="1" applyFont="1" applyFill="1" applyBorder="1" applyAlignment="1" applyProtection="1">
      <alignment horizontal="left" vertical="top"/>
      <protection locked="0"/>
    </xf>
    <xf numFmtId="170" fontId="19" fillId="34" borderId="78" xfId="0" applyNumberFormat="1" applyFont="1" applyFill="1" applyBorder="1" applyAlignment="1" applyProtection="1">
      <alignment horizontal="left" vertical="top"/>
      <protection locked="0"/>
    </xf>
    <xf numFmtId="10" fontId="29" fillId="34" borderId="11" xfId="0" applyNumberFormat="1" applyFont="1" applyFill="1" applyBorder="1" applyAlignment="1" applyProtection="1">
      <alignment vertical="top"/>
      <protection locked="0"/>
    </xf>
    <xf numFmtId="0" fontId="18" fillId="33" borderId="10" xfId="0" applyFont="1" applyFill="1" applyBorder="1" applyAlignment="1">
      <alignment horizontal="center" vertical="top" wrapText="1"/>
    </xf>
    <xf numFmtId="0" fontId="29" fillId="0" borderId="79" xfId="0" applyFont="1" applyBorder="1" applyAlignment="1">
      <alignment horizontal="left" vertical="top" wrapText="1"/>
    </xf>
    <xf numFmtId="0" fontId="29" fillId="46" borderId="12" xfId="0" applyFont="1" applyFill="1" applyBorder="1" applyAlignment="1">
      <alignment horizontal="left" vertical="top" wrapText="1"/>
    </xf>
    <xf numFmtId="0" fontId="29" fillId="46" borderId="48" xfId="0" applyFont="1" applyFill="1" applyBorder="1" applyAlignment="1">
      <alignment horizontal="left" vertical="top" wrapText="1"/>
    </xf>
    <xf numFmtId="0" fontId="29" fillId="46" borderId="11" xfId="0" applyFont="1" applyFill="1" applyBorder="1" applyAlignment="1">
      <alignment horizontal="left" vertical="top" wrapText="1"/>
    </xf>
    <xf numFmtId="0" fontId="29" fillId="46" borderId="0" xfId="0" applyFont="1" applyFill="1" applyAlignment="1">
      <alignment horizontal="left" vertical="top"/>
    </xf>
    <xf numFmtId="3" fontId="29" fillId="46" borderId="11" xfId="0" applyNumberFormat="1" applyFont="1" applyFill="1" applyBorder="1" applyAlignment="1">
      <alignment horizontal="left" vertical="top"/>
    </xf>
    <xf numFmtId="0" fontId="29" fillId="46" borderId="11" xfId="0" applyFont="1" applyFill="1" applyBorder="1" applyAlignment="1">
      <alignment horizontal="left" vertical="top"/>
    </xf>
    <xf numFmtId="0" fontId="29" fillId="46" borderId="39" xfId="0" applyFont="1" applyFill="1" applyBorder="1" applyAlignment="1">
      <alignment horizontal="left" vertical="top" wrapText="1"/>
    </xf>
    <xf numFmtId="0" fontId="29" fillId="46" borderId="28" xfId="0" applyFont="1" applyFill="1" applyBorder="1" applyAlignment="1">
      <alignment horizontal="left" vertical="top" wrapText="1"/>
    </xf>
    <xf numFmtId="0" fontId="29" fillId="46" borderId="60" xfId="0" applyFont="1" applyFill="1" applyBorder="1" applyAlignment="1">
      <alignment horizontal="left" vertical="top" wrapText="1"/>
    </xf>
    <xf numFmtId="0" fontId="29" fillId="46" borderId="72" xfId="0" applyFont="1" applyFill="1" applyBorder="1" applyAlignment="1">
      <alignment horizontal="left" vertical="top" wrapText="1"/>
    </xf>
    <xf numFmtId="171" fontId="19" fillId="0" borderId="12" xfId="0" applyNumberFormat="1" applyFont="1" applyBorder="1" applyAlignment="1">
      <alignment horizontal="left" vertical="top"/>
    </xf>
    <xf numFmtId="171" fontId="19" fillId="0" borderId="24" xfId="0" applyNumberFormat="1" applyFont="1" applyBorder="1" applyAlignment="1">
      <alignment horizontal="left" vertical="top"/>
    </xf>
    <xf numFmtId="171" fontId="19" fillId="0" borderId="11" xfId="0" applyNumberFormat="1" applyFont="1" applyBorder="1" applyAlignment="1">
      <alignment horizontal="left" vertical="top"/>
    </xf>
    <xf numFmtId="171" fontId="19" fillId="0" borderId="26" xfId="0" applyNumberFormat="1" applyFont="1" applyBorder="1" applyAlignment="1">
      <alignment horizontal="left" vertical="top"/>
    </xf>
    <xf numFmtId="0" fontId="20" fillId="0" borderId="75" xfId="0" applyFont="1" applyBorder="1" applyAlignment="1">
      <alignment horizontal="left" vertical="top"/>
    </xf>
    <xf numFmtId="0" fontId="20" fillId="0" borderId="88" xfId="0" applyFont="1" applyBorder="1" applyAlignment="1">
      <alignment horizontal="left" vertical="top"/>
    </xf>
    <xf numFmtId="0" fontId="21" fillId="0" borderId="25" xfId="51" applyBorder="1">
      <alignment horizontal="left" vertical="top" wrapText="1"/>
    </xf>
    <xf numFmtId="0" fontId="19" fillId="0" borderId="26" xfId="0" applyFont="1" applyBorder="1" applyAlignment="1">
      <alignment horizontal="left" vertical="top" wrapText="1"/>
    </xf>
    <xf numFmtId="0" fontId="29" fillId="0" borderId="26" xfId="0" applyFont="1" applyBorder="1" applyAlignment="1">
      <alignment horizontal="left" vertical="top" wrapText="1"/>
    </xf>
    <xf numFmtId="0" fontId="21" fillId="0" borderId="64" xfId="51" applyBorder="1">
      <alignment horizontal="left" vertical="top" wrapText="1"/>
    </xf>
    <xf numFmtId="0" fontId="19" fillId="0" borderId="89" xfId="0" applyFont="1" applyBorder="1" applyAlignment="1">
      <alignment horizontal="left" vertical="top" wrapText="1"/>
    </xf>
    <xf numFmtId="0" fontId="21" fillId="0" borderId="27" xfId="51" applyBorder="1">
      <alignment horizontal="left" vertical="top" wrapText="1"/>
    </xf>
    <xf numFmtId="0" fontId="20" fillId="0" borderId="75" xfId="0" applyFont="1" applyBorder="1"/>
    <xf numFmtId="0" fontId="20" fillId="0" borderId="88" xfId="0" applyFont="1" applyBorder="1"/>
    <xf numFmtId="0" fontId="21" fillId="0" borderId="25" xfId="51" quotePrefix="1" applyBorder="1">
      <alignment horizontal="left" vertical="top" wrapText="1"/>
    </xf>
    <xf numFmtId="0" fontId="19" fillId="0" borderId="26" xfId="0" applyFont="1" applyBorder="1"/>
    <xf numFmtId="0" fontId="21" fillId="0" borderId="27" xfId="51" quotePrefix="1" applyBorder="1">
      <alignment horizontal="left" vertical="top" wrapText="1"/>
    </xf>
    <xf numFmtId="0" fontId="19" fillId="0" borderId="29" xfId="0" applyFont="1" applyBorder="1"/>
    <xf numFmtId="0" fontId="19" fillId="34" borderId="47" xfId="0" applyFont="1" applyFill="1" applyBorder="1" applyProtection="1">
      <protection locked="0"/>
    </xf>
    <xf numFmtId="165" fontId="29" fillId="34" borderId="48" xfId="0" applyNumberFormat="1" applyFont="1" applyFill="1" applyBorder="1" applyAlignment="1" applyProtection="1">
      <alignment horizontal="left" vertical="top" wrapText="1"/>
      <protection locked="0"/>
    </xf>
    <xf numFmtId="165" fontId="29" fillId="34" borderId="18" xfId="0" applyNumberFormat="1" applyFont="1" applyFill="1" applyBorder="1" applyAlignment="1" applyProtection="1">
      <alignment horizontal="left" vertical="top" wrapText="1"/>
      <protection locked="0"/>
    </xf>
    <xf numFmtId="0" fontId="29" fillId="0" borderId="27" xfId="0" applyFont="1" applyBorder="1" applyAlignment="1">
      <alignment vertical="top" wrapText="1"/>
    </xf>
    <xf numFmtId="9" fontId="19" fillId="34" borderId="28" xfId="0" applyNumberFormat="1" applyFont="1" applyFill="1" applyBorder="1" applyAlignment="1" applyProtection="1">
      <alignment vertical="top"/>
      <protection locked="0"/>
    </xf>
    <xf numFmtId="9" fontId="19" fillId="34" borderId="29" xfId="0" applyNumberFormat="1" applyFont="1" applyFill="1" applyBorder="1" applyAlignment="1" applyProtection="1">
      <alignment vertical="top"/>
      <protection locked="0"/>
    </xf>
    <xf numFmtId="3" fontId="19" fillId="34" borderId="26" xfId="0" applyNumberFormat="1" applyFont="1" applyFill="1" applyBorder="1" applyAlignment="1" applyProtection="1">
      <alignment horizontal="left" vertical="top"/>
      <protection locked="0"/>
    </xf>
    <xf numFmtId="3" fontId="19" fillId="34" borderId="38" xfId="0" applyNumberFormat="1" applyFont="1" applyFill="1" applyBorder="1" applyAlignment="1" applyProtection="1">
      <alignment horizontal="left" vertical="top"/>
      <protection locked="0"/>
    </xf>
    <xf numFmtId="3" fontId="19" fillId="34" borderId="45" xfId="0" applyNumberFormat="1" applyFont="1" applyFill="1" applyBorder="1" applyAlignment="1" applyProtection="1">
      <alignment horizontal="left" vertical="top"/>
      <protection locked="0"/>
    </xf>
    <xf numFmtId="3" fontId="29" fillId="34" borderId="11" xfId="0" applyNumberFormat="1" applyFont="1" applyFill="1" applyBorder="1" applyAlignment="1" applyProtection="1">
      <alignment vertical="top"/>
      <protection locked="0"/>
    </xf>
    <xf numFmtId="3" fontId="19" fillId="0" borderId="28" xfId="0" applyNumberFormat="1" applyFont="1" applyBorder="1" applyAlignment="1">
      <alignment vertical="top" wrapText="1"/>
    </xf>
    <xf numFmtId="3" fontId="29" fillId="34" borderId="27" xfId="0" applyNumberFormat="1" applyFont="1" applyFill="1" applyBorder="1" applyAlignment="1" applyProtection="1">
      <alignment horizontal="left" vertical="top" wrapText="1"/>
      <protection locked="0"/>
    </xf>
    <xf numFmtId="3" fontId="29" fillId="34" borderId="28" xfId="0" applyNumberFormat="1" applyFont="1" applyFill="1" applyBorder="1" applyAlignment="1" applyProtection="1">
      <alignment horizontal="left" vertical="top" wrapText="1"/>
      <protection locked="0"/>
    </xf>
    <xf numFmtId="3" fontId="19" fillId="0" borderId="12" xfId="0" applyNumberFormat="1" applyFont="1" applyBorder="1" applyAlignment="1">
      <alignment horizontal="left" vertical="top"/>
    </xf>
    <xf numFmtId="3" fontId="19" fillId="0" borderId="11" xfId="0" applyNumberFormat="1" applyFont="1" applyBorder="1" applyAlignment="1">
      <alignment horizontal="left" vertical="top"/>
    </xf>
    <xf numFmtId="0" fontId="21" fillId="0" borderId="60" xfId="51" applyBorder="1">
      <alignment horizontal="left" vertical="top" wrapText="1"/>
    </xf>
    <xf numFmtId="49" fontId="66" fillId="35" borderId="13" xfId="47" applyFont="1" applyBorder="1">
      <alignment horizontal="center" vertical="center" wrapText="1"/>
    </xf>
    <xf numFmtId="49" fontId="23" fillId="35" borderId="15" xfId="47" applyFont="1" applyBorder="1">
      <alignment horizontal="center" vertical="center" wrapText="1"/>
    </xf>
    <xf numFmtId="49" fontId="23" fillId="33" borderId="13" xfId="48" applyFont="1" applyBorder="1">
      <alignment horizontal="left" vertical="top" wrapText="1"/>
    </xf>
    <xf numFmtId="49" fontId="23" fillId="35" borderId="34" xfId="47" applyFont="1" applyBorder="1">
      <alignment horizontal="center" vertical="center" wrapText="1"/>
    </xf>
    <xf numFmtId="0" fontId="0" fillId="0" borderId="33" xfId="0" applyBorder="1" applyAlignment="1">
      <alignment horizontal="center" vertical="center" wrapText="1"/>
    </xf>
    <xf numFmtId="49" fontId="63" fillId="35" borderId="15" xfId="47" applyFont="1" applyBorder="1">
      <alignment horizontal="center" vertical="center" wrapText="1"/>
    </xf>
    <xf numFmtId="0" fontId="21" fillId="0" borderId="34" xfId="51" applyBorder="1">
      <alignment horizontal="left" vertical="top" wrapText="1"/>
    </xf>
    <xf numFmtId="0" fontId="19" fillId="0" borderId="33" xfId="0" applyFont="1" applyBorder="1"/>
    <xf numFmtId="49" fontId="23" fillId="33" borderId="10" xfId="48" applyFont="1">
      <alignment horizontal="left" vertical="top" wrapText="1"/>
    </xf>
    <xf numFmtId="0" fontId="21" fillId="0" borderId="19" xfId="51" applyBorder="1">
      <alignment horizontal="left" vertical="top" wrapText="1"/>
    </xf>
    <xf numFmtId="0" fontId="21" fillId="0" borderId="0" xfId="51" applyBorder="1">
      <alignment horizontal="left" vertical="top" wrapText="1"/>
    </xf>
    <xf numFmtId="0" fontId="19" fillId="0" borderId="31" xfId="0" quotePrefix="1" applyFont="1" applyBorder="1" applyAlignment="1">
      <alignment horizontal="left" vertical="top" wrapText="1"/>
    </xf>
    <xf numFmtId="0" fontId="19" fillId="0" borderId="32" xfId="0" quotePrefix="1" applyFont="1" applyBorder="1" applyAlignment="1">
      <alignment horizontal="left" vertical="top" wrapText="1"/>
    </xf>
    <xf numFmtId="0" fontId="19" fillId="0" borderId="34" xfId="0" applyFont="1" applyBorder="1" applyAlignment="1">
      <alignment horizontal="left" vertical="top" wrapText="1"/>
    </xf>
    <xf numFmtId="0" fontId="19" fillId="0" borderId="33" xfId="0" applyFont="1" applyBorder="1" applyAlignment="1">
      <alignment horizontal="left" vertical="top" wrapText="1"/>
    </xf>
    <xf numFmtId="0" fontId="19" fillId="0" borderId="34" xfId="0" quotePrefix="1" applyFont="1" applyBorder="1" applyAlignment="1">
      <alignment horizontal="left" vertical="top" wrapText="1"/>
    </xf>
    <xf numFmtId="0" fontId="29" fillId="0" borderId="37" xfId="0" quotePrefix="1" applyFont="1" applyBorder="1" applyAlignment="1">
      <alignment horizontal="left" vertical="top" wrapText="1"/>
    </xf>
    <xf numFmtId="0" fontId="29" fillId="0" borderId="36" xfId="0" applyFont="1" applyBorder="1" applyAlignment="1">
      <alignment horizontal="left" vertical="top" wrapText="1"/>
    </xf>
    <xf numFmtId="0" fontId="19" fillId="0" borderId="20" xfId="0" applyFont="1" applyBorder="1" applyAlignment="1">
      <alignment horizontal="left" vertical="top"/>
    </xf>
    <xf numFmtId="0" fontId="19" fillId="0" borderId="21" xfId="0" applyFont="1" applyBorder="1" applyAlignment="1">
      <alignment horizontal="left" vertical="top"/>
    </xf>
    <xf numFmtId="0" fontId="21" fillId="0" borderId="37" xfId="51" applyBorder="1">
      <alignment horizontal="left" vertical="top" wrapText="1"/>
    </xf>
    <xf numFmtId="0" fontId="19" fillId="0" borderId="36" xfId="0" applyFont="1" applyBorder="1"/>
    <xf numFmtId="0" fontId="19" fillId="0" borderId="0" xfId="0" applyFont="1"/>
    <xf numFmtId="0" fontId="19" fillId="0" borderId="37" xfId="49" applyBorder="1">
      <alignment horizontal="left" vertical="top" wrapText="1"/>
    </xf>
    <xf numFmtId="0" fontId="19" fillId="0" borderId="35" xfId="49" applyBorder="1">
      <alignment horizontal="left" vertical="top" wrapText="1"/>
    </xf>
    <xf numFmtId="0" fontId="19" fillId="0" borderId="36" xfId="49" applyBorder="1">
      <alignment horizontal="left" vertical="top" wrapText="1"/>
    </xf>
    <xf numFmtId="0" fontId="29" fillId="34" borderId="86" xfId="0" applyFont="1" applyFill="1" applyBorder="1" applyAlignment="1" applyProtection="1">
      <alignment horizontal="left" vertical="top" wrapText="1"/>
      <protection locked="0"/>
    </xf>
    <xf numFmtId="0" fontId="19" fillId="0" borderId="87" xfId="0" applyFont="1" applyBorder="1" applyAlignment="1" applyProtection="1">
      <alignment horizontal="left" vertical="top" wrapText="1"/>
      <protection locked="0"/>
    </xf>
    <xf numFmtId="0" fontId="19" fillId="0" borderId="84" xfId="0" applyFont="1" applyBorder="1" applyAlignment="1" applyProtection="1">
      <alignment horizontal="left" vertical="top" wrapText="1"/>
      <protection locked="0"/>
    </xf>
    <xf numFmtId="49" fontId="18" fillId="35" borderId="20" xfId="47" applyBorder="1" applyAlignment="1">
      <alignment horizontal="center" vertical="center"/>
    </xf>
    <xf numFmtId="49" fontId="18" fillId="35" borderId="40" xfId="47" applyBorder="1" applyAlignment="1">
      <alignment horizontal="center" vertical="center"/>
    </xf>
    <xf numFmtId="0" fontId="19" fillId="0" borderId="40" xfId="0" applyFont="1" applyBorder="1"/>
    <xf numFmtId="0" fontId="19" fillId="0" borderId="21" xfId="0" applyFont="1" applyBorder="1"/>
    <xf numFmtId="0" fontId="19" fillId="0" borderId="31" xfId="49" applyBorder="1">
      <alignment horizontal="left" vertical="top" wrapText="1"/>
    </xf>
    <xf numFmtId="0" fontId="19" fillId="0" borderId="30" xfId="49" applyBorder="1">
      <alignment horizontal="left" vertical="top" wrapText="1"/>
    </xf>
    <xf numFmtId="0" fontId="19" fillId="0" borderId="30" xfId="0" applyFont="1" applyBorder="1" applyAlignment="1">
      <alignment wrapText="1"/>
    </xf>
    <xf numFmtId="0" fontId="19" fillId="0" borderId="32" xfId="0" applyFont="1" applyBorder="1" applyAlignment="1">
      <alignment wrapText="1"/>
    </xf>
    <xf numFmtId="49" fontId="20" fillId="33" borderId="31" xfId="48" applyBorder="1" applyAlignment="1">
      <alignment horizontal="left" vertical="top"/>
    </xf>
    <xf numFmtId="49" fontId="20" fillId="33" borderId="30" xfId="48" applyBorder="1" applyAlignment="1">
      <alignment horizontal="left" vertical="top"/>
    </xf>
    <xf numFmtId="49" fontId="20" fillId="33" borderId="20" xfId="48" applyBorder="1" applyAlignment="1">
      <alignment horizontal="left" vertical="top"/>
    </xf>
    <xf numFmtId="49" fontId="20" fillId="33" borderId="40" xfId="48" applyBorder="1" applyAlignment="1">
      <alignment horizontal="left" vertical="top"/>
    </xf>
    <xf numFmtId="0" fontId="0" fillId="0" borderId="0" xfId="0" applyAlignment="1">
      <alignment horizontal="left" vertical="top"/>
    </xf>
    <xf numFmtId="0" fontId="0" fillId="0" borderId="33" xfId="0" applyBorder="1" applyAlignment="1">
      <alignment horizontal="left" vertical="top"/>
    </xf>
    <xf numFmtId="0" fontId="21" fillId="0" borderId="34" xfId="51" applyBorder="1" applyAlignment="1">
      <alignment horizontal="left" vertical="top"/>
    </xf>
    <xf numFmtId="0" fontId="0" fillId="0" borderId="0" xfId="0"/>
    <xf numFmtId="0" fontId="0" fillId="0" borderId="33" xfId="0" applyBorder="1"/>
    <xf numFmtId="0" fontId="21" fillId="0" borderId="0" xfId="51" applyBorder="1" applyAlignment="1">
      <alignment horizontal="left" vertical="top"/>
    </xf>
    <xf numFmtId="49" fontId="18" fillId="35" borderId="10" xfId="47" applyAlignment="1">
      <alignment horizontal="left" vertical="top" wrapText="1"/>
    </xf>
    <xf numFmtId="49" fontId="18" fillId="35" borderId="32" xfId="47" applyBorder="1" applyAlignment="1">
      <alignment horizontal="left" vertical="top" wrapText="1"/>
    </xf>
    <xf numFmtId="49" fontId="18" fillId="35" borderId="13" xfId="47" applyBorder="1" applyAlignment="1">
      <alignment horizontal="left" vertical="top" wrapText="1"/>
    </xf>
    <xf numFmtId="0" fontId="20" fillId="0" borderId="20" xfId="0" applyFont="1" applyBorder="1" applyAlignment="1">
      <alignment horizontal="left" vertical="top"/>
    </xf>
    <xf numFmtId="0" fontId="19" fillId="0" borderId="32" xfId="0" applyFont="1" applyBorder="1" applyAlignment="1">
      <alignment horizontal="left" vertical="top"/>
    </xf>
    <xf numFmtId="0" fontId="19" fillId="0" borderId="33" xfId="0" applyFont="1" applyBorder="1" applyAlignment="1">
      <alignment horizontal="left" vertical="top"/>
    </xf>
    <xf numFmtId="0" fontId="19" fillId="0" borderId="37" xfId="0" quotePrefix="1" applyFont="1" applyBorder="1" applyAlignment="1">
      <alignment horizontal="left" vertical="top" wrapText="1"/>
    </xf>
    <xf numFmtId="0" fontId="19" fillId="0" borderId="36" xfId="0" applyFont="1" applyBorder="1" applyAlignment="1">
      <alignment horizontal="left" vertical="top"/>
    </xf>
    <xf numFmtId="49" fontId="18" fillId="33" borderId="10" xfId="48" applyFont="1">
      <alignment horizontal="left" vertical="top" wrapText="1"/>
    </xf>
    <xf numFmtId="49" fontId="18" fillId="35" borderId="20" xfId="47" applyBorder="1">
      <alignment horizontal="center" vertical="center" wrapText="1"/>
    </xf>
    <xf numFmtId="0" fontId="29" fillId="0" borderId="34" xfId="0" applyFont="1" applyBorder="1" applyAlignment="1">
      <alignment horizontal="left" vertical="top" wrapText="1"/>
    </xf>
    <xf numFmtId="0" fontId="29" fillId="0" borderId="0" xfId="0" applyFont="1" applyAlignment="1">
      <alignment horizontal="left" vertical="top"/>
    </xf>
    <xf numFmtId="0" fontId="29" fillId="0" borderId="33" xfId="0" applyFont="1" applyBorder="1" applyAlignment="1">
      <alignment horizontal="left" vertical="top"/>
    </xf>
    <xf numFmtId="0" fontId="19" fillId="0" borderId="0" xfId="0" applyFont="1" applyAlignment="1">
      <alignment horizontal="left" vertical="top"/>
    </xf>
    <xf numFmtId="0" fontId="19" fillId="0" borderId="37" xfId="0" applyFont="1" applyBorder="1" applyAlignment="1">
      <alignment horizontal="left" vertical="top" wrapText="1"/>
    </xf>
    <xf numFmtId="0" fontId="19" fillId="0" borderId="35" xfId="0" applyFont="1" applyBorder="1" applyAlignment="1">
      <alignment horizontal="left" vertical="top"/>
    </xf>
    <xf numFmtId="0" fontId="21" fillId="0" borderId="19" xfId="51" applyBorder="1" applyAlignment="1">
      <alignment horizontal="left" vertical="top"/>
    </xf>
    <xf numFmtId="0" fontId="21" fillId="0" borderId="11" xfId="51">
      <alignment horizontal="left" vertical="top" wrapText="1"/>
    </xf>
    <xf numFmtId="0" fontId="48" fillId="0" borderId="34" xfId="0" applyFont="1" applyBorder="1" applyAlignment="1">
      <alignment horizontal="left" vertical="top" wrapText="1"/>
    </xf>
    <xf numFmtId="0" fontId="48" fillId="0" borderId="0" xfId="0" applyFont="1" applyAlignment="1">
      <alignment horizontal="left" vertical="top"/>
    </xf>
    <xf numFmtId="0" fontId="48" fillId="0" borderId="33" xfId="0" applyFont="1" applyBorder="1" applyAlignment="1">
      <alignment horizontal="left" vertical="top"/>
    </xf>
    <xf numFmtId="0" fontId="21" fillId="0" borderId="59" xfId="51" applyBorder="1">
      <alignment horizontal="left" vertical="top" wrapText="1"/>
    </xf>
    <xf numFmtId="49" fontId="18" fillId="35" borderId="40" xfId="47" applyBorder="1">
      <alignment horizontal="center" vertical="center" wrapText="1"/>
    </xf>
    <xf numFmtId="0" fontId="19" fillId="0" borderId="31" xfId="0" applyFont="1" applyBorder="1" applyAlignment="1">
      <alignment horizontal="left" vertical="top" wrapText="1"/>
    </xf>
    <xf numFmtId="0" fontId="19" fillId="0" borderId="30" xfId="0" applyFont="1" applyBorder="1" applyAlignment="1">
      <alignment horizontal="left" vertical="top"/>
    </xf>
    <xf numFmtId="0" fontId="19" fillId="0" borderId="30" xfId="0" applyFont="1" applyBorder="1"/>
    <xf numFmtId="0" fontId="19" fillId="0" borderId="32" xfId="0" applyFont="1" applyBorder="1"/>
    <xf numFmtId="0" fontId="29" fillId="0" borderId="37" xfId="0" applyFont="1" applyBorder="1" applyAlignment="1">
      <alignment horizontal="left" vertical="top" wrapText="1"/>
    </xf>
    <xf numFmtId="0" fontId="29" fillId="0" borderId="35" xfId="0" applyFont="1" applyBorder="1" applyAlignment="1">
      <alignment horizontal="left" vertical="top"/>
    </xf>
    <xf numFmtId="0" fontId="29" fillId="0" borderId="35" xfId="0" applyFont="1" applyBorder="1"/>
    <xf numFmtId="0" fontId="29" fillId="0" borderId="36" xfId="0" applyFont="1" applyBorder="1"/>
    <xf numFmtId="0" fontId="19" fillId="0" borderId="0" xfId="0" applyFont="1" applyAlignment="1">
      <alignment horizontal="left" vertical="top" wrapText="1"/>
    </xf>
    <xf numFmtId="49" fontId="66" fillId="35" borderId="20" xfId="47" applyFont="1" applyBorder="1" applyAlignment="1">
      <alignment horizontal="center" vertical="top" wrapText="1"/>
    </xf>
    <xf numFmtId="0" fontId="29" fillId="0" borderId="40" xfId="0" applyFont="1" applyBorder="1" applyAlignment="1">
      <alignment vertical="top"/>
    </xf>
    <xf numFmtId="0" fontId="29" fillId="0" borderId="21" xfId="0" applyFont="1" applyBorder="1" applyAlignment="1">
      <alignment vertical="top"/>
    </xf>
    <xf numFmtId="0" fontId="19" fillId="0" borderId="30" xfId="0" applyFont="1" applyBorder="1" applyAlignment="1">
      <alignment horizontal="left" vertical="top" wrapText="1"/>
    </xf>
    <xf numFmtId="0" fontId="21" fillId="0" borderId="60" xfId="51" applyBorder="1">
      <alignment horizontal="left" vertical="top" wrapText="1"/>
    </xf>
    <xf numFmtId="0" fontId="29" fillId="0" borderId="0" xfId="0" applyFont="1"/>
    <xf numFmtId="0" fontId="29" fillId="0" borderId="33" xfId="0" applyFont="1" applyBorder="1"/>
    <xf numFmtId="0" fontId="21" fillId="0" borderId="48" xfId="51" applyBorder="1">
      <alignment horizontal="left" vertical="top" wrapText="1"/>
    </xf>
    <xf numFmtId="0" fontId="29" fillId="0" borderId="31" xfId="0" applyFont="1" applyBorder="1" applyAlignment="1">
      <alignment horizontal="left" vertical="top" wrapText="1"/>
    </xf>
    <xf numFmtId="0" fontId="29" fillId="0" borderId="30" xfId="0" applyFont="1" applyBorder="1" applyAlignment="1">
      <alignment horizontal="left" vertical="top" wrapText="1"/>
    </xf>
    <xf numFmtId="0" fontId="29" fillId="0" borderId="30" xfId="0" applyFont="1" applyBorder="1" applyAlignment="1">
      <alignment wrapText="1"/>
    </xf>
    <xf numFmtId="0" fontId="29" fillId="0" borderId="32" xfId="0" applyFont="1" applyBorder="1" applyAlignment="1">
      <alignment wrapText="1"/>
    </xf>
    <xf numFmtId="0" fontId="21" fillId="0" borderId="90" xfId="51" applyBorder="1">
      <alignment horizontal="left" vertical="top" wrapText="1"/>
    </xf>
    <xf numFmtId="0" fontId="21" fillId="0" borderId="70" xfId="51" applyBorder="1">
      <alignment horizontal="left" vertical="top" wrapText="1"/>
    </xf>
    <xf numFmtId="0" fontId="21" fillId="0" borderId="81" xfId="51" applyBorder="1">
      <alignment horizontal="left" vertical="top" wrapText="1"/>
    </xf>
    <xf numFmtId="0" fontId="20" fillId="0" borderId="0" xfId="0" applyFont="1"/>
    <xf numFmtId="0" fontId="19" fillId="0" borderId="35" xfId="0" applyFont="1" applyBorder="1"/>
    <xf numFmtId="0" fontId="19" fillId="0" borderId="0" xfId="0" applyFont="1" applyAlignment="1">
      <alignment wrapText="1"/>
    </xf>
    <xf numFmtId="0" fontId="19" fillId="0" borderId="33" xfId="0" applyFont="1" applyBorder="1" applyAlignment="1">
      <alignment wrapText="1"/>
    </xf>
    <xf numFmtId="0" fontId="18" fillId="33" borderId="20" xfId="0" applyFont="1" applyFill="1" applyBorder="1" applyAlignment="1">
      <alignment horizontal="center" vertical="top" wrapText="1"/>
    </xf>
    <xf numFmtId="0" fontId="18" fillId="33" borderId="40" xfId="0" applyFont="1" applyFill="1" applyBorder="1" applyAlignment="1">
      <alignment horizontal="center" vertical="top" wrapText="1"/>
    </xf>
    <xf numFmtId="0" fontId="18" fillId="33" borderId="21" xfId="0" applyFont="1" applyFill="1" applyBorder="1" applyAlignment="1">
      <alignment horizontal="center" vertical="top" wrapText="1"/>
    </xf>
    <xf numFmtId="0" fontId="29" fillId="0" borderId="32" xfId="0" applyFont="1" applyBorder="1" applyAlignment="1">
      <alignment horizontal="left" vertical="top" wrapText="1"/>
    </xf>
    <xf numFmtId="0" fontId="29" fillId="0" borderId="0" xfId="0" applyFont="1" applyAlignment="1">
      <alignment horizontal="left" vertical="top" wrapText="1"/>
    </xf>
    <xf numFmtId="0" fontId="29" fillId="0" borderId="33" xfId="0" applyFont="1" applyBorder="1" applyAlignment="1">
      <alignment horizontal="left" vertical="top" wrapText="1"/>
    </xf>
    <xf numFmtId="0" fontId="29" fillId="0" borderId="35" xfId="0" applyFont="1" applyBorder="1" applyAlignment="1">
      <alignment horizontal="left" vertical="top" wrapText="1"/>
    </xf>
    <xf numFmtId="0" fontId="19" fillId="0" borderId="40" xfId="0" applyFont="1" applyBorder="1" applyAlignment="1">
      <alignment horizontal="left" vertical="top"/>
    </xf>
    <xf numFmtId="0" fontId="19" fillId="0" borderId="35" xfId="0" applyFont="1" applyBorder="1" applyAlignment="1">
      <alignment horizontal="left" vertical="top" wrapText="1"/>
    </xf>
    <xf numFmtId="0" fontId="21" fillId="0" borderId="11" xfId="51" applyAlignment="1">
      <alignment horizontal="left" vertical="top"/>
    </xf>
    <xf numFmtId="0" fontId="20" fillId="33" borderId="34" xfId="0" applyFont="1" applyFill="1" applyBorder="1" applyAlignment="1">
      <alignment horizontal="left" vertical="top" wrapText="1"/>
    </xf>
    <xf numFmtId="0" fontId="20" fillId="33" borderId="0" xfId="0" applyFont="1" applyFill="1" applyAlignment="1">
      <alignment horizontal="left" vertical="top" wrapText="1"/>
    </xf>
    <xf numFmtId="0" fontId="20" fillId="33" borderId="20" xfId="0" applyFont="1" applyFill="1" applyBorder="1" applyAlignment="1">
      <alignment horizontal="left" vertical="top" wrapText="1"/>
    </xf>
    <xf numFmtId="0" fontId="20" fillId="33" borderId="40" xfId="0" applyFont="1" applyFill="1" applyBorder="1" applyAlignment="1">
      <alignment horizontal="left" vertical="top" wrapText="1"/>
    </xf>
    <xf numFmtId="0" fontId="20" fillId="33" borderId="21" xfId="0" applyFont="1" applyFill="1" applyBorder="1" applyAlignment="1">
      <alignment horizontal="left" vertical="top" wrapText="1"/>
    </xf>
    <xf numFmtId="0" fontId="0" fillId="0" borderId="20" xfId="0" applyBorder="1" applyAlignment="1">
      <alignment horizontal="left" vertical="top" wrapText="1"/>
    </xf>
    <xf numFmtId="0" fontId="0" fillId="0" borderId="40" xfId="0" applyBorder="1" applyAlignment="1">
      <alignment horizontal="left" vertical="top" wrapText="1"/>
    </xf>
    <xf numFmtId="0" fontId="0" fillId="0" borderId="21" xfId="0" applyBorder="1" applyAlignment="1">
      <alignment horizontal="left" vertical="top" wrapText="1"/>
    </xf>
    <xf numFmtId="0" fontId="20" fillId="33" borderId="49" xfId="0" applyFont="1" applyFill="1" applyBorder="1" applyAlignment="1">
      <alignment horizontal="left" vertical="top" wrapText="1"/>
    </xf>
    <xf numFmtId="0" fontId="20" fillId="33" borderId="50" xfId="0" applyFont="1" applyFill="1" applyBorder="1" applyAlignment="1">
      <alignment horizontal="left" vertical="top" wrapText="1"/>
    </xf>
    <xf numFmtId="0" fontId="20" fillId="33" borderId="51" xfId="0" applyFont="1" applyFill="1" applyBorder="1" applyAlignment="1">
      <alignment horizontal="left" vertical="top" wrapText="1"/>
    </xf>
    <xf numFmtId="0" fontId="37" fillId="33" borderId="20" xfId="0" applyFont="1" applyFill="1" applyBorder="1" applyAlignment="1">
      <alignment horizontal="left" vertical="top" wrapText="1"/>
    </xf>
    <xf numFmtId="0" fontId="37" fillId="33" borderId="40" xfId="0" applyFont="1" applyFill="1" applyBorder="1" applyAlignment="1">
      <alignment horizontal="left" vertical="top" wrapText="1"/>
    </xf>
    <xf numFmtId="0" fontId="37" fillId="33" borderId="21" xfId="0" applyFont="1" applyFill="1" applyBorder="1" applyAlignment="1">
      <alignment horizontal="left" vertical="top" wrapText="1"/>
    </xf>
    <xf numFmtId="0" fontId="18" fillId="33" borderId="20" xfId="0" applyFont="1" applyFill="1" applyBorder="1" applyAlignment="1">
      <alignment horizontal="center"/>
    </xf>
    <xf numFmtId="0" fontId="18" fillId="33" borderId="40" xfId="0" applyFont="1" applyFill="1" applyBorder="1" applyAlignment="1">
      <alignment horizontal="center"/>
    </xf>
    <xf numFmtId="0" fontId="18" fillId="33" borderId="21" xfId="0" applyFont="1" applyFill="1" applyBorder="1" applyAlignment="1">
      <alignment horizontal="center"/>
    </xf>
    <xf numFmtId="0" fontId="0" fillId="0" borderId="20" xfId="0" applyBorder="1" applyAlignment="1">
      <alignment horizontal="left" vertical="top"/>
    </xf>
    <xf numFmtId="0" fontId="0" fillId="0" borderId="40" xfId="0" applyBorder="1" applyAlignment="1">
      <alignment horizontal="left" vertical="top"/>
    </xf>
    <xf numFmtId="0" fontId="0" fillId="0" borderId="21" xfId="0" applyBorder="1" applyAlignment="1">
      <alignment horizontal="left" vertical="top"/>
    </xf>
    <xf numFmtId="0" fontId="20" fillId="33" borderId="41" xfId="0" applyFont="1" applyFill="1" applyBorder="1" applyAlignment="1">
      <alignment horizontal="left" vertical="top" wrapText="1"/>
    </xf>
    <xf numFmtId="0" fontId="20" fillId="33" borderId="42" xfId="0" applyFont="1" applyFill="1" applyBorder="1" applyAlignment="1">
      <alignment horizontal="left" vertical="top" wrapText="1"/>
    </xf>
    <xf numFmtId="0" fontId="16" fillId="0" borderId="0" xfId="0" applyFont="1"/>
    <xf numFmtId="49" fontId="20" fillId="37" borderId="10" xfId="48" applyFill="1">
      <alignment horizontal="left" vertical="top" wrapText="1"/>
    </xf>
    <xf numFmtId="49" fontId="18" fillId="35" borderId="13" xfId="47" applyBorder="1">
      <alignment horizontal="center" vertical="center" wrapText="1"/>
    </xf>
    <xf numFmtId="0" fontId="19" fillId="0" borderId="16" xfId="49" applyBorder="1">
      <alignment horizontal="left" vertical="top" wrapText="1"/>
    </xf>
    <xf numFmtId="0" fontId="19" fillId="0" borderId="22" xfId="49" applyBorder="1">
      <alignment horizontal="left" vertical="top" wrapText="1"/>
    </xf>
    <xf numFmtId="0" fontId="19" fillId="0" borderId="17" xfId="49" applyBorder="1">
      <alignment horizontal="left" vertical="top" wrapText="1"/>
    </xf>
    <xf numFmtId="49" fontId="20" fillId="33" borderId="20" xfId="48" applyBorder="1">
      <alignment horizontal="left" vertical="top" wrapText="1"/>
    </xf>
    <xf numFmtId="49" fontId="20" fillId="33" borderId="21" xfId="48" applyBorder="1">
      <alignment horizontal="left" vertical="top" wrapText="1"/>
    </xf>
    <xf numFmtId="49" fontId="20" fillId="33" borderId="10" xfId="48">
      <alignment horizontal="left" vertical="top" wrapText="1"/>
    </xf>
    <xf numFmtId="0" fontId="19" fillId="36" borderId="16" xfId="49" applyFill="1" applyBorder="1">
      <alignment horizontal="left" vertical="top" wrapText="1"/>
    </xf>
    <xf numFmtId="0" fontId="19" fillId="36" borderId="22" xfId="49" applyFill="1" applyBorder="1">
      <alignment horizontal="left" vertical="top" wrapText="1"/>
    </xf>
    <xf numFmtId="0" fontId="19" fillId="36" borderId="17" xfId="49" applyFill="1" applyBorder="1">
      <alignment horizontal="left" vertical="top" wrapText="1"/>
    </xf>
    <xf numFmtId="0" fontId="18" fillId="0" borderId="0" xfId="0" applyFont="1" applyAlignment="1">
      <alignment horizontal="center" vertical="center"/>
    </xf>
    <xf numFmtId="0" fontId="30" fillId="0" borderId="0" xfId="0" applyFont="1" applyAlignment="1">
      <alignment vertical="top"/>
    </xf>
    <xf numFmtId="0" fontId="30" fillId="0" borderId="33" xfId="0" applyFont="1" applyBorder="1" applyAlignment="1">
      <alignment vertical="top"/>
    </xf>
    <xf numFmtId="0" fontId="33" fillId="0" borderId="0" xfId="0" applyFont="1" applyAlignment="1">
      <alignment horizontal="left"/>
    </xf>
    <xf numFmtId="0" fontId="33" fillId="0" borderId="0" xfId="0" applyFont="1" applyAlignment="1">
      <alignment vertical="top"/>
    </xf>
    <xf numFmtId="0" fontId="30" fillId="0" borderId="30" xfId="0" applyFont="1" applyBorder="1" applyAlignment="1">
      <alignment vertical="center"/>
    </xf>
    <xf numFmtId="0" fontId="30" fillId="0" borderId="32" xfId="0" applyFont="1" applyBorder="1" applyAlignment="1">
      <alignment vertical="center"/>
    </xf>
    <xf numFmtId="0" fontId="33" fillId="0" borderId="0" xfId="0" applyFont="1"/>
    <xf numFmtId="0" fontId="33" fillId="0" borderId="0" xfId="0" applyFont="1" applyAlignment="1">
      <alignment horizontal="left" vertical="top"/>
    </xf>
    <xf numFmtId="0" fontId="33" fillId="0" borderId="0" xfId="0" applyFont="1" applyAlignment="1">
      <alignment horizontal="left" indent="1"/>
    </xf>
    <xf numFmtId="0" fontId="29" fillId="0" borderId="20" xfId="0" applyFont="1" applyBorder="1" applyAlignment="1">
      <alignment vertical="center" wrapText="1"/>
    </xf>
    <xf numFmtId="0" fontId="29" fillId="0" borderId="40" xfId="0" applyFont="1" applyBorder="1" applyAlignment="1">
      <alignment vertical="center" wrapText="1"/>
    </xf>
    <xf numFmtId="0" fontId="29" fillId="0" borderId="21" xfId="0" applyFont="1" applyBorder="1" applyAlignment="1">
      <alignment vertical="center" wrapText="1"/>
    </xf>
    <xf numFmtId="49" fontId="18" fillId="35" borderId="10" xfId="47">
      <alignment horizontal="center" vertical="center" wrapText="1"/>
    </xf>
  </cellXfs>
  <cellStyles count="61">
    <cellStyle name="20% - Accent1" xfId="24" builtinId="30" hidden="1"/>
    <cellStyle name="20% - Accent2" xfId="28" builtinId="34" hidden="1"/>
    <cellStyle name="20% - Accent3" xfId="32" builtinId="38" hidden="1"/>
    <cellStyle name="20% - Accent4" xfId="36" builtinId="42" hidden="1"/>
    <cellStyle name="20% - Accent5" xfId="40" builtinId="46" hidden="1"/>
    <cellStyle name="20% - Accent6" xfId="44" builtinId="50" hidden="1"/>
    <cellStyle name="40% - Accent1" xfId="25" builtinId="31" hidden="1"/>
    <cellStyle name="40% - Accent2" xfId="29" builtinId="35" hidden="1"/>
    <cellStyle name="40% - Accent3" xfId="33" builtinId="39" hidden="1"/>
    <cellStyle name="40% - Accent4" xfId="37" builtinId="43" hidden="1"/>
    <cellStyle name="40% - Accent5" xfId="41" builtinId="47" hidden="1"/>
    <cellStyle name="40% - Accent6" xfId="45" builtinId="51" hidden="1"/>
    <cellStyle name="60% - Accent1" xfId="26" builtinId="32" hidden="1"/>
    <cellStyle name="60% - Accent2" xfId="30" builtinId="36" hidden="1"/>
    <cellStyle name="60% - Accent3" xfId="34" builtinId="40" hidden="1"/>
    <cellStyle name="60% - Accent4" xfId="38" builtinId="44" hidden="1"/>
    <cellStyle name="60% - Accent5" xfId="42" builtinId="48" hidden="1"/>
    <cellStyle name="60% - Accent6" xfId="46" builtinId="52" hidden="1"/>
    <cellStyle name="Accent1" xfId="23" builtinId="29" hidden="1"/>
    <cellStyle name="Accent2" xfId="27" builtinId="33" hidden="1"/>
    <cellStyle name="Accent3" xfId="31" builtinId="37" hidden="1"/>
    <cellStyle name="Accent4" xfId="35" builtinId="41" hidden="1"/>
    <cellStyle name="Accent5" xfId="39" builtinId="45" hidden="1"/>
    <cellStyle name="Accent6" xfId="43" builtinId="49" hidden="1"/>
    <cellStyle name="Bad" xfId="12" builtinId="27" hidden="1"/>
    <cellStyle name="Calculation" xfId="16" builtinId="22" hidden="1"/>
    <cellStyle name="Check Cell" xfId="18" builtinId="23" hidden="1"/>
    <cellStyle name="Comma" xfId="1" builtinId="3" hidden="1"/>
    <cellStyle name="Comma [0]" xfId="2" builtinId="6" hidden="1"/>
    <cellStyle name="Currency" xfId="3" builtinId="4" hidden="1"/>
    <cellStyle name="Currency [0]" xfId="4" builtinId="7" hidden="1"/>
    <cellStyle name="Explanatory Text" xfId="21" builtinId="53" hidden="1"/>
    <cellStyle name="Followed Hyperlink" xfId="52" builtinId="9" customBuiltin="1"/>
    <cellStyle name="FormulaHelp" xfId="55" xr:uid="{FEBB7D36-94D9-4241-AC6C-BB78137FD212}"/>
    <cellStyle name="Good" xfId="11" builtinId="26" hidden="1"/>
    <cellStyle name="GrayCFHelper" xfId="56" xr:uid="{67644A87-CFB2-426C-82AF-B7354E40A0F6}"/>
    <cellStyle name="Header" xfId="50" xr:uid="{38C1F99C-017E-447F-93E1-5EE0202314AC}"/>
    <cellStyle name="Heading 1" xfId="7" builtinId="16" hidden="1"/>
    <cellStyle name="Heading 2" xfId="8" builtinId="17" hidden="1"/>
    <cellStyle name="Heading 3" xfId="9" builtinId="18" hidden="1"/>
    <cellStyle name="Heading 4" xfId="10" builtinId="19" hidden="1"/>
    <cellStyle name="Hyperlink" xfId="51" builtinId="8" customBuiltin="1"/>
    <cellStyle name="Hyperlink 2" xfId="60" xr:uid="{3FEF145E-46F4-4924-AF51-4C4FCD911DC8}"/>
    <cellStyle name="Important" xfId="53" xr:uid="{77FE856D-44E0-462E-B377-E780AB70A1B8}"/>
    <cellStyle name="Input" xfId="14" builtinId="20" hidden="1"/>
    <cellStyle name="InputCell" xfId="54" xr:uid="{58599429-3A48-4352-A718-0BDBEFAFAD4D}"/>
    <cellStyle name="Linked Cell" xfId="17" builtinId="24" hidden="1"/>
    <cellStyle name="Locked" xfId="49" xr:uid="{87326D03-5BBE-4C64-8F56-B5C4FD069B92}"/>
    <cellStyle name="Neutral" xfId="13" builtinId="28" hidden="1"/>
    <cellStyle name="Normal" xfId="0" builtinId="0"/>
    <cellStyle name="Normal 2" xfId="59" xr:uid="{2FAEE62E-5974-42F1-827A-5B432E566294}"/>
    <cellStyle name="Normal 6" xfId="58" xr:uid="{2FACDDED-FFB8-49F1-B16F-FAA018F63A70}"/>
    <cellStyle name="Note" xfId="20" builtinId="10" hidden="1"/>
    <cellStyle name="Output" xfId="15" builtinId="21" hidden="1"/>
    <cellStyle name="Percent" xfId="5" builtinId="5" hidden="1"/>
    <cellStyle name="RedCFHelper" xfId="57" xr:uid="{6498AC7E-A759-4E05-8187-E4C84A068421}"/>
    <cellStyle name="Section" xfId="48" xr:uid="{BAF9AAA8-2229-45F5-83EC-DB5A58E0B04D}"/>
    <cellStyle name="SheetTitle" xfId="47" xr:uid="{3F7BB17B-9DBF-4A59-BA38-29CAA7D99B4F}"/>
    <cellStyle name="Title" xfId="6" builtinId="15" hidden="1"/>
    <cellStyle name="Total" xfId="22" builtinId="25" hidden="1"/>
    <cellStyle name="Warning Text" xfId="19" builtinId="11" hidden="1"/>
  </cellStyles>
  <dxfs count="283">
    <dxf>
      <fill>
        <patternFill>
          <bgColor theme="5" tint="0.59996337778862885"/>
        </patternFill>
      </fill>
    </dxf>
    <dxf>
      <fill>
        <patternFill>
          <bgColor theme="5" tint="0.59996337778862885"/>
        </patternFill>
      </fill>
    </dxf>
    <dxf>
      <fill>
        <patternFill>
          <bgColor rgb="FFFFD966"/>
        </patternFill>
      </fill>
    </dxf>
    <dxf>
      <fill>
        <patternFill>
          <bgColor rgb="FFEBB8B7"/>
        </patternFill>
      </fill>
    </dxf>
    <dxf>
      <font>
        <color theme="0"/>
      </font>
      <fill>
        <patternFill>
          <bgColor theme="0" tint="-0.499984740745262"/>
        </patternFill>
      </fill>
    </dxf>
    <dxf>
      <font>
        <color theme="0" tint="-0.499984740745262"/>
      </font>
      <fill>
        <patternFill>
          <bgColor theme="0" tint="-0.499984740745262"/>
        </patternFill>
      </fill>
    </dxf>
    <dxf>
      <fill>
        <patternFill>
          <bgColor rgb="FFEBB8B7"/>
        </patternFill>
      </fill>
    </dxf>
    <dxf>
      <fill>
        <patternFill>
          <bgColor rgb="FFFFD966"/>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ill>
        <patternFill>
          <bgColor rgb="FFFFD966"/>
        </patternFill>
      </fill>
    </dxf>
    <dxf>
      <font>
        <color theme="0" tint="-0.499984740745262"/>
      </font>
      <fill>
        <patternFill>
          <bgColor theme="0" tint="-0.499984740745262"/>
        </patternFill>
      </fill>
    </dxf>
    <dxf>
      <fill>
        <patternFill>
          <bgColor rgb="FFFFD966"/>
        </patternFill>
      </fill>
    </dxf>
    <dxf>
      <fill>
        <patternFill>
          <bgColor rgb="FFEBB8B7"/>
        </patternFill>
      </fill>
    </dxf>
    <dxf>
      <font>
        <color theme="0"/>
      </font>
      <fill>
        <patternFill>
          <bgColor theme="0" tint="-0.499984740745262"/>
        </patternFill>
      </fill>
    </dxf>
    <dxf>
      <font>
        <color theme="0"/>
      </font>
      <fill>
        <patternFill>
          <bgColor theme="0" tint="-0.499984740745262"/>
        </patternFill>
      </fill>
    </dxf>
    <dxf>
      <font>
        <color theme="0"/>
      </font>
      <fill>
        <patternFill>
          <bgColor theme="0" tint="-0.499984740745262"/>
        </patternFill>
      </fill>
    </dxf>
    <dxf>
      <fill>
        <patternFill>
          <bgColor rgb="FFEBB8B7"/>
        </patternFill>
      </fill>
    </dxf>
    <dxf>
      <fill>
        <patternFill>
          <bgColor rgb="FFFFD966"/>
        </patternFill>
      </fill>
    </dxf>
    <dxf>
      <font>
        <color theme="0"/>
      </font>
      <fill>
        <patternFill>
          <bgColor theme="0" tint="-0.499984740745262"/>
        </patternFill>
      </fill>
    </dxf>
    <dxf>
      <font>
        <color theme="0"/>
      </font>
      <fill>
        <patternFill>
          <bgColor theme="0" tint="-0.499984740745262"/>
        </patternFill>
      </fill>
    </dxf>
    <dxf>
      <font>
        <color theme="0"/>
      </font>
      <fill>
        <patternFill>
          <bgColor theme="0" tint="-0.499984740745262"/>
        </patternFill>
      </fill>
    </dxf>
    <dxf>
      <fill>
        <patternFill>
          <bgColor rgb="FFFFD966"/>
        </patternFill>
      </fill>
    </dxf>
    <dxf>
      <fill>
        <patternFill>
          <bgColor rgb="FFEBB8B7"/>
        </patternFill>
      </fill>
    </dxf>
    <dxf>
      <font>
        <color auto="1"/>
      </font>
      <fill>
        <patternFill patternType="solid">
          <bgColor rgb="FFEBB8B7"/>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border>
        <vertical/>
        <horizontal/>
      </border>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border outline="0">
        <top style="thin">
          <color indexed="64"/>
        </top>
      </border>
    </dxf>
    <dxf>
      <border outline="0">
        <top style="medium">
          <color indexed="64"/>
        </top>
        <bottom style="thin">
          <color indexed="64"/>
        </bottom>
      </border>
    </dxf>
    <dxf>
      <border outline="0">
        <bottom style="medium">
          <color indexed="64"/>
        </bottom>
      </border>
    </dxf>
    <dxf>
      <border diagonalUp="0" diagonalDown="0" outline="0">
        <left style="medium">
          <color indexed="64"/>
        </left>
        <right style="medium">
          <color indexed="64"/>
        </right>
        <top/>
        <bottom/>
      </border>
    </dxf>
    <dxf>
      <font>
        <strike val="0"/>
        <outline val="0"/>
        <shadow val="0"/>
        <u val="none"/>
        <color theme="1"/>
        <name val="Arial"/>
        <family val="2"/>
        <scheme val="none"/>
      </font>
      <fill>
        <patternFill patternType="solid">
          <fgColor indexed="64"/>
          <bgColor rgb="FFFFFFCC"/>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border>
      <protection locked="0" hidden="0"/>
    </dxf>
    <dxf>
      <font>
        <strike val="0"/>
        <outline val="0"/>
        <shadow val="0"/>
        <u val="none"/>
        <color theme="1"/>
        <name val="Arial"/>
        <family val="2"/>
        <scheme val="none"/>
      </font>
      <numFmt numFmtId="170" formatCode="[=0]&quot;-&quot;;[&lt;0.005]\&lt;\ 0.0\1;#,##0.00"/>
      <fill>
        <patternFill patternType="solid">
          <fgColor indexed="64"/>
          <bgColor rgb="FFFFFFCC"/>
        </patternFill>
      </fill>
      <alignment horizontal="left" vertical="top" textRotation="0" wrapText="0" indent="0" justifyLastLine="0" shrinkToFit="0" readingOrder="0"/>
      <border diagonalUp="0" diagonalDown="0">
        <left style="thin">
          <color indexed="64"/>
        </left>
        <right/>
        <top style="thin">
          <color indexed="64"/>
        </top>
        <bottom style="thin">
          <color indexed="64"/>
        </bottom>
      </border>
      <protection locked="0" hidden="0"/>
    </dxf>
    <dxf>
      <font>
        <strike val="0"/>
        <outline val="0"/>
        <shadow val="0"/>
        <u val="none"/>
        <color theme="1"/>
        <name val="Arial"/>
        <family val="2"/>
        <scheme val="none"/>
      </font>
      <numFmt numFmtId="170" formatCode="[=0]&quot;-&quot;;[&lt;0.005]\&lt;\ 0.0\1;#,##0.00"/>
      <fill>
        <patternFill patternType="solid">
          <fgColor indexed="64"/>
          <bgColor rgb="FFFFFFCC"/>
        </patternFill>
      </fill>
      <alignment horizontal="left" vertical="top" textRotation="0" wrapText="0" indent="0" justifyLastLine="0" shrinkToFit="0" readingOrder="0"/>
      <border diagonalUp="0" diagonalDown="0">
        <left style="thin">
          <color indexed="64"/>
        </left>
        <right/>
        <top style="thin">
          <color indexed="64"/>
        </top>
        <bottom style="thin">
          <color indexed="64"/>
        </bottom>
      </border>
      <protection locked="0" hidden="0"/>
    </dxf>
    <dxf>
      <font>
        <strike val="0"/>
        <outline val="0"/>
        <shadow val="0"/>
        <u val="none"/>
        <color theme="1"/>
        <name val="Arial"/>
        <family val="2"/>
        <scheme val="none"/>
      </font>
      <numFmt numFmtId="170" formatCode="[=0]&quot;-&quot;;[&lt;0.005]\&lt;\ 0.0\1;#,##0.00"/>
      <fill>
        <patternFill patternType="solid">
          <fgColor indexed="64"/>
          <bgColor rgb="FFFFFFCC"/>
        </patternFill>
      </fill>
      <alignment horizontal="left" vertical="top" textRotation="0" wrapText="0" indent="0" justifyLastLine="0" shrinkToFit="0" readingOrder="0"/>
      <border diagonalUp="0" diagonalDown="0">
        <left style="thin">
          <color indexed="64"/>
        </left>
        <right/>
        <top style="thin">
          <color indexed="64"/>
        </top>
        <bottom style="thin">
          <color indexed="64"/>
        </bottom>
      </border>
      <protection locked="0" hidden="0"/>
    </dxf>
    <dxf>
      <font>
        <strike val="0"/>
        <outline val="0"/>
        <shadow val="0"/>
        <u val="none"/>
        <color theme="1"/>
        <name val="Arial"/>
        <family val="2"/>
        <scheme val="none"/>
      </font>
      <numFmt numFmtId="170" formatCode="[=0]&quot;-&quot;;[&lt;0.005]\&lt;\ 0.0\1;#,##0.00"/>
      <fill>
        <patternFill patternType="solid">
          <fgColor indexed="64"/>
          <bgColor rgb="FFFFFFCC"/>
        </patternFill>
      </fill>
      <alignment horizontal="left" vertical="top" textRotation="0" wrapText="0" indent="0" justifyLastLine="0" shrinkToFit="0" readingOrder="0"/>
      <border diagonalUp="0" diagonalDown="0">
        <left style="thin">
          <color indexed="64"/>
        </left>
        <right/>
        <top style="thin">
          <color indexed="64"/>
        </top>
        <bottom style="thin">
          <color indexed="64"/>
        </bottom>
      </border>
      <protection locked="0" hidden="0"/>
    </dxf>
    <dxf>
      <font>
        <strike val="0"/>
        <outline val="0"/>
        <shadow val="0"/>
        <u val="none"/>
        <color theme="1"/>
        <name val="Arial"/>
        <family val="2"/>
        <scheme val="none"/>
      </font>
      <numFmt numFmtId="170" formatCode="[=0]&quot;-&quot;;[&lt;0.005]\&lt;\ 0.0\1;#,##0.00"/>
      <fill>
        <patternFill patternType="solid">
          <fgColor indexed="64"/>
          <bgColor rgb="FFFFFFCC"/>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strike val="0"/>
        <outline val="0"/>
        <shadow val="0"/>
        <u val="none"/>
        <color theme="1"/>
        <name val="Arial"/>
        <family val="2"/>
        <scheme val="none"/>
      </font>
      <numFmt numFmtId="170" formatCode="[=0]&quot;-&quot;;[&lt;0.005]\&lt;\ 0.0\1;#,##0.00"/>
      <fill>
        <patternFill patternType="solid">
          <fgColor indexed="64"/>
          <bgColor rgb="FFFFFFCC"/>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strike val="0"/>
        <outline val="0"/>
        <shadow val="0"/>
        <u val="none"/>
        <color theme="1"/>
        <name val="Arial"/>
        <family val="2"/>
        <scheme val="none"/>
      </font>
      <numFmt numFmtId="170" formatCode="[=0]&quot;-&quot;;[&lt;0.005]\&lt;\ 0.0\1;#,##0.00"/>
      <fill>
        <patternFill patternType="solid">
          <fgColor indexed="64"/>
          <bgColor rgb="FFFFFFCC"/>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strike val="0"/>
        <outline val="0"/>
        <shadow val="0"/>
        <u val="none"/>
        <color theme="1"/>
        <name val="Arial"/>
        <family val="2"/>
        <scheme val="none"/>
      </font>
      <numFmt numFmtId="170" formatCode="[=0]&quot;-&quot;;[&lt;0.005]\&lt;\ 0.0\1;#,##0.00"/>
      <fill>
        <patternFill patternType="solid">
          <fgColor indexed="64"/>
          <bgColor rgb="FFFFFFCC"/>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strike val="0"/>
        <outline val="0"/>
        <shadow val="0"/>
        <u val="none"/>
        <color theme="1"/>
        <name val="Arial"/>
        <family val="2"/>
        <scheme val="none"/>
      </font>
      <numFmt numFmtId="170" formatCode="[=0]&quot;-&quot;;[&lt;0.005]\&lt;\ 0.0\1;#,##0.00"/>
      <fill>
        <patternFill patternType="solid">
          <fgColor indexed="64"/>
          <bgColor rgb="FFFFFFCC"/>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strike val="0"/>
        <outline val="0"/>
        <shadow val="0"/>
        <u val="none"/>
        <color theme="1"/>
        <name val="Arial"/>
        <family val="2"/>
        <scheme val="none"/>
      </font>
      <numFmt numFmtId="170" formatCode="[=0]&quot;-&quot;;[&lt;0.005]\&lt;\ 0.0\1;#,##0.00"/>
      <fill>
        <patternFill patternType="solid">
          <fgColor indexed="64"/>
          <bgColor rgb="FFFFFFCC"/>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165" formatCode="[=0]0;[&lt;0.01]0.00E+00;#,##0.00"/>
      <fill>
        <patternFill patternType="solid">
          <fgColor indexed="64"/>
          <bgColor rgb="FFFFFFCC"/>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strike val="0"/>
        <outline val="0"/>
        <shadow val="0"/>
        <u val="none"/>
        <color auto="1"/>
        <name val="Arial"/>
        <family val="2"/>
        <scheme val="none"/>
      </font>
      <numFmt numFmtId="165" formatCode="[=0]0;[&lt;0.01]0.00E+00;#,##0.00"/>
      <fill>
        <patternFill patternType="solid">
          <fgColor indexed="64"/>
          <bgColor rgb="FFFFFFCC"/>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strike val="0"/>
        <outline val="0"/>
        <shadow val="0"/>
        <u val="none"/>
        <color theme="1"/>
        <name val="Arial"/>
        <family val="2"/>
        <scheme val="none"/>
      </font>
      <fill>
        <patternFill patternType="solid">
          <fgColor indexed="64"/>
          <bgColor rgb="FFFFFFCC"/>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color theme="1"/>
        <name val="Arial"/>
        <family val="2"/>
        <scheme val="none"/>
      </font>
      <fill>
        <patternFill patternType="solid">
          <fgColor indexed="64"/>
          <bgColor rgb="FFFFFFCC"/>
        </patternFill>
      </fill>
      <alignment horizontal="left" vertical="top" textRotation="0" wrapText="0" indent="0" justifyLastLine="0" shrinkToFit="0" readingOrder="0"/>
      <border diagonalUp="0" diagonalDown="0" outline="0">
        <left/>
        <right style="thin">
          <color indexed="64"/>
        </right>
        <top style="thin">
          <color indexed="64"/>
        </top>
        <bottom style="thin">
          <color indexed="64"/>
        </bottom>
      </border>
      <protection locked="0" hidden="0"/>
    </dxf>
    <dxf>
      <border diagonalUp="0" diagonalDown="0">
        <left style="medium">
          <color indexed="64"/>
        </left>
        <right style="medium">
          <color indexed="64"/>
        </right>
        <top style="medium">
          <color indexed="64"/>
        </top>
        <bottom style="medium">
          <color indexed="64"/>
        </bottom>
      </border>
    </dxf>
    <dxf>
      <font>
        <strike val="0"/>
        <outline val="0"/>
        <shadow val="0"/>
        <u val="none"/>
        <color theme="1"/>
        <name val="Arial"/>
        <family val="2"/>
        <scheme val="none"/>
      </font>
      <fill>
        <patternFill patternType="solid">
          <fgColor indexed="64"/>
          <bgColor rgb="FFFFFFCC"/>
        </patternFill>
      </fill>
      <alignment horizontal="left" vertical="top" textRotation="0" wrapText="0"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theme="1"/>
        <name val="Arial"/>
        <family val="2"/>
        <scheme val="none"/>
      </font>
      <fill>
        <patternFill patternType="solid">
          <fgColor indexed="64"/>
          <bgColor theme="0" tint="-0.14999847407452621"/>
        </patternFill>
      </fill>
      <alignment horizontal="left" vertical="top" textRotation="0" wrapText="1" indent="0" justifyLastLine="0" shrinkToFit="0" readingOrder="0"/>
      <border diagonalUp="0" diagonalDown="0" outline="0">
        <left style="thin">
          <color indexed="64"/>
        </left>
        <right style="thin">
          <color indexed="64"/>
        </right>
        <top/>
        <bottom/>
      </border>
    </dxf>
    <dxf>
      <font>
        <strike val="0"/>
        <outline val="0"/>
        <shadow val="0"/>
        <name val="Arial"/>
        <family val="2"/>
        <scheme val="none"/>
      </font>
      <numFmt numFmtId="171" formatCode="[=0]&quot;0&quot;;[&lt;0.005]\&lt;\ 0.0\1;#,##0.00"/>
      <alignment horizontal="left" vertical="top" textRotation="0" indent="0" justifyLastLine="0" shrinkToFit="0" readingOrder="0"/>
      <border diagonalUp="0" diagonalDown="0">
        <left style="thin">
          <color indexed="64"/>
        </left>
        <right style="medium">
          <color indexed="64"/>
        </right>
        <top style="thin">
          <color indexed="64"/>
        </top>
        <bottom style="thin">
          <color indexed="64"/>
        </bottom>
      </border>
    </dxf>
    <dxf>
      <font>
        <strike val="0"/>
        <outline val="0"/>
        <shadow val="0"/>
        <name val="Arial"/>
        <family val="2"/>
        <scheme val="none"/>
      </font>
      <numFmt numFmtId="171" formatCode="[=0]&quot;0&quot;;[&lt;0.005]\&lt;\ 0.0\1;#,##0.00"/>
      <alignment horizontal="left" vertical="top" textRotation="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name val="Arial"/>
        <family val="2"/>
        <scheme val="none"/>
      </font>
      <numFmt numFmtId="171" formatCode="[=0]&quot;0&quot;;[&lt;0.005]\&lt;\ 0.0\1;#,##0.00"/>
      <alignment horizontal="left" vertical="top" textRotation="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name val="Arial"/>
        <family val="2"/>
        <scheme val="none"/>
      </font>
      <numFmt numFmtId="171" formatCode="[=0]&quot;0&quot;;[&lt;0.005]\&lt;\ 0.0\1;#,##0.00"/>
      <alignment horizontal="left" vertical="top" textRotation="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name val="Arial"/>
        <family val="2"/>
        <scheme val="none"/>
      </font>
      <numFmt numFmtId="171" formatCode="[=0]&quot;0&quot;;[&lt;0.005]\&lt;\ 0.0\1;#,##0.00"/>
      <alignment horizontal="left" vertical="top" textRotation="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name val="Arial"/>
        <family val="2"/>
        <scheme val="none"/>
      </font>
      <numFmt numFmtId="171" formatCode="[=0]&quot;0&quot;;[&lt;0.005]\&lt;\ 0.0\1;#,##0.00"/>
      <alignment horizontal="left" vertical="top" textRotation="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name val="Arial"/>
        <family val="2"/>
        <scheme val="none"/>
      </font>
      <numFmt numFmtId="171" formatCode="[=0]&quot;0&quot;;[&lt;0.005]\&lt;\ 0.0\1;#,##0.00"/>
      <alignment horizontal="left" vertical="top" textRotation="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name val="Arial"/>
        <family val="2"/>
        <scheme val="none"/>
      </font>
      <numFmt numFmtId="171" formatCode="[=0]&quot;0&quot;;[&lt;0.005]\&lt;\ 0.0\1;#,##0.00"/>
      <alignment horizontal="left" vertical="top" textRotation="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name val="Arial"/>
        <family val="2"/>
        <scheme val="none"/>
      </font>
      <numFmt numFmtId="171" formatCode="[=0]&quot;0&quot;;[&lt;0.005]\&lt;\ 0.0\1;#,##0.00"/>
      <alignment horizontal="left" vertical="top" textRotation="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name val="Arial"/>
        <family val="2"/>
        <scheme val="none"/>
      </font>
      <numFmt numFmtId="171" formatCode="[=0]&quot;0&quot;;[&lt;0.005]\&lt;\ 0.0\1;#,##0.00"/>
      <alignment horizontal="left" vertical="top" textRotation="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name val="Arial"/>
        <family val="2"/>
        <scheme val="none"/>
      </font>
      <alignment horizontal="left" vertical="top"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name val="Arial"/>
        <family val="2"/>
        <scheme val="none"/>
      </font>
      <alignment horizontal="left" vertical="top"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name val="Arial"/>
        <family val="2"/>
        <scheme val="none"/>
      </font>
      <alignment horizontal="left" vertical="top" textRotation="0" indent="0" justifyLastLine="0" shrinkToFit="0" readingOrder="0"/>
      <border diagonalUp="0" diagonalDown="0" outline="0">
        <left style="medium">
          <color indexed="64"/>
        </left>
        <right style="thin">
          <color indexed="64"/>
        </right>
        <top style="thin">
          <color indexed="64"/>
        </top>
        <bottom style="thin">
          <color indexed="64"/>
        </bottom>
      </border>
    </dxf>
    <dxf>
      <font>
        <strike val="0"/>
        <outline val="0"/>
        <shadow val="0"/>
        <name val="Arial"/>
        <family val="2"/>
        <scheme val="none"/>
      </font>
      <alignment horizontal="left" vertical="top" textRotation="0" indent="0" justifyLastLine="0" shrinkToFit="0" readingOrder="0"/>
      <border diagonalUp="0" diagonalDown="0" outline="0">
        <left style="medium">
          <color indexed="64"/>
        </left>
        <right/>
        <top style="thin">
          <color indexed="64"/>
        </top>
        <bottom style="thin">
          <color indexed="64"/>
        </bottom>
      </border>
    </dxf>
    <dxf>
      <border outline="0">
        <top style="medium">
          <color indexed="64"/>
        </top>
        <bottom style="medium">
          <color indexed="64"/>
        </bottom>
      </border>
    </dxf>
    <dxf>
      <font>
        <strike val="0"/>
        <outline val="0"/>
        <shadow val="0"/>
        <name val="Arial"/>
        <family val="2"/>
        <scheme val="none"/>
      </font>
      <alignment horizontal="left" vertical="top" textRotation="0" indent="0" justifyLastLine="0" shrinkToFit="0" readingOrder="0"/>
    </dxf>
    <dxf>
      <border>
        <bottom style="medium">
          <color indexed="64"/>
        </bottom>
      </border>
    </dxf>
    <dxf>
      <font>
        <b/>
        <i val="0"/>
        <strike val="0"/>
        <condense val="0"/>
        <extend val="0"/>
        <outline val="0"/>
        <shadow val="0"/>
        <u val="none"/>
        <vertAlign val="baseline"/>
        <sz val="11"/>
        <color theme="1"/>
        <name val="Arial"/>
        <family val="2"/>
        <scheme val="none"/>
      </font>
      <fill>
        <patternFill patternType="solid">
          <fgColor indexed="64"/>
          <bgColor theme="0" tint="-0.14999847407452621"/>
        </patternFill>
      </fill>
      <alignment horizontal="left" vertical="top"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name val="Arial"/>
        <family val="2"/>
        <scheme val="none"/>
      </font>
      <numFmt numFmtId="165" formatCode="[=0]0;[&lt;0.01]0.00E+00;#,##0.00"/>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name val="Arial"/>
        <family val="2"/>
        <scheme val="none"/>
      </font>
      <numFmt numFmtId="165" formatCode="[=0]0;[&lt;0.01]0.00E+00;#,##0.00"/>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name val="Arial"/>
        <family val="2"/>
        <scheme val="none"/>
      </font>
      <numFmt numFmtId="165" formatCode="[=0]0;[&lt;0.01]0.00E+00;#,##0.00"/>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name val="Arial"/>
        <family val="2"/>
        <scheme val="none"/>
      </font>
      <numFmt numFmtId="165" formatCode="[=0]0;[&lt;0.01]0.00E+00;#,##0.00"/>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name val="Arial"/>
        <family val="2"/>
        <scheme val="none"/>
      </font>
      <numFmt numFmtId="165" formatCode="[=0]0;[&lt;0.01]0.00E+00;#,##0.00"/>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name val="Arial"/>
        <family val="2"/>
        <scheme val="none"/>
      </font>
      <numFmt numFmtId="165" formatCode="[=0]0;[&lt;0.01]0.00E+00;#,##0.00"/>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name val="Arial"/>
        <family val="2"/>
        <scheme val="none"/>
      </font>
      <numFmt numFmtId="165" formatCode="[=0]0;[&lt;0.01]0.00E+00;#,##0.00"/>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name val="Arial"/>
        <family val="2"/>
        <scheme val="none"/>
      </font>
      <numFmt numFmtId="165" formatCode="[=0]0;[&lt;0.01]0.00E+00;#,##0.00"/>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name val="Arial"/>
        <family val="2"/>
        <scheme val="none"/>
      </font>
      <numFmt numFmtId="165" formatCode="[=0]0;[&lt;0.01]0.00E+00;#,##0.00"/>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name val="Arial"/>
        <family val="2"/>
        <scheme val="none"/>
      </font>
      <numFmt numFmtId="165" formatCode="[=0]0;[&lt;0.01]0.00E+00;#,##0.00"/>
      <alignment horizontal="left" vertical="top" textRotation="0" wrapText="1" indent="0" justifyLastLine="0" shrinkToFit="0" readingOrder="0"/>
      <border diagonalUp="0" diagonalDown="0" outline="0">
        <left style="medium">
          <color indexed="64"/>
        </left>
        <right style="thin">
          <color indexed="64"/>
        </right>
        <top style="thin">
          <color indexed="64"/>
        </top>
        <bottom style="thin">
          <color indexed="64"/>
        </bottom>
      </border>
    </dxf>
    <dxf>
      <font>
        <strike val="0"/>
        <outline val="0"/>
        <shadow val="0"/>
        <vertAlign val="baseline"/>
        <name val="Arial"/>
        <family val="2"/>
        <scheme val="none"/>
      </font>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name val="Arial"/>
        <family val="2"/>
        <scheme val="none"/>
      </font>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name val="Arial"/>
        <family val="2"/>
        <scheme val="none"/>
      </font>
      <numFmt numFmtId="165" formatCode="[=0]0;[&lt;0.01]0.00E+00;#,##0.00"/>
      <alignment horizontal="general" vertical="top" textRotation="0" wrapText="1" indent="0" justifyLastLine="0" shrinkToFit="0" readingOrder="0"/>
      <border diagonalUp="0" diagonalDown="0" outline="0">
        <left style="thin">
          <color indexed="64"/>
        </left>
        <right style="medium">
          <color indexed="64"/>
        </right>
        <top style="thin">
          <color indexed="64"/>
        </top>
        <bottom style="medium">
          <color indexed="64"/>
        </bottom>
      </border>
    </dxf>
    <dxf>
      <border outline="0">
        <top style="medium">
          <color indexed="64"/>
        </top>
        <bottom style="medium">
          <color indexed="64"/>
        </bottom>
      </border>
    </dxf>
    <dxf>
      <font>
        <strike val="0"/>
        <outline val="0"/>
        <shadow val="0"/>
        <vertAlign val="baseline"/>
        <name val="Arial"/>
        <family val="2"/>
        <scheme val="none"/>
      </font>
      <alignment horizontal="general" vertical="top" textRotation="0" wrapText="1" indent="0" justifyLastLine="0" shrinkToFit="0" readingOrder="0"/>
    </dxf>
    <dxf>
      <font>
        <strike val="0"/>
        <outline val="0"/>
        <shadow val="0"/>
        <u val="none"/>
        <vertAlign val="baseline"/>
        <sz val="11"/>
        <name val="Arial"/>
        <family val="2"/>
        <scheme val="none"/>
      </font>
      <fill>
        <patternFill patternType="none">
          <fgColor indexed="64"/>
          <bgColor auto="1"/>
        </patternFill>
      </fill>
      <alignment horizontal="left" vertical="top" textRotation="0" indent="0" justifyLastLine="0" shrinkToFit="0" readingOrder="0"/>
      <border diagonalUp="0" diagonalDown="0" outline="0">
        <left style="thin">
          <color indexed="64"/>
        </left>
        <right style="thin">
          <color indexed="64"/>
        </right>
        <top/>
        <bottom/>
      </border>
    </dxf>
    <dxf>
      <font>
        <strike val="0"/>
        <outline val="0"/>
        <shadow val="0"/>
        <u val="none"/>
        <sz val="11"/>
        <name val="Arial"/>
        <family val="2"/>
        <scheme val="none"/>
      </font>
      <alignment horizontal="left" vertical="top" textRotation="0" indent="0" justifyLastLine="0" shrinkToFit="0" readingOrder="0"/>
    </dxf>
    <dxf>
      <font>
        <strike val="0"/>
        <outline val="0"/>
        <shadow val="0"/>
        <u val="none"/>
        <sz val="11"/>
        <name val="Arial"/>
        <family val="2"/>
        <scheme val="none"/>
      </font>
      <alignment horizontal="left" vertical="top" textRotation="0" indent="0" justifyLastLine="0" shrinkToFit="0" readingOrder="0"/>
    </dxf>
    <dxf>
      <font>
        <strike val="0"/>
        <outline val="0"/>
        <shadow val="0"/>
        <u val="none"/>
        <sz val="11"/>
        <name val="Arial"/>
        <family val="2"/>
        <scheme val="none"/>
      </font>
      <alignment horizontal="left" vertical="top" textRotation="0" indent="0" justifyLastLine="0" shrinkToFit="0" readingOrder="0"/>
    </dxf>
    <dxf>
      <font>
        <strike val="0"/>
        <outline val="0"/>
        <shadow val="0"/>
        <u val="none"/>
        <sz val="11"/>
        <name val="Arial"/>
        <family val="2"/>
        <scheme val="none"/>
      </font>
      <alignment horizontal="left" vertical="top" textRotation="0" indent="0" justifyLastLine="0" shrinkToFit="0" readingOrder="0"/>
    </dxf>
    <dxf>
      <font>
        <strike val="0"/>
        <outline val="0"/>
        <shadow val="0"/>
        <u val="none"/>
        <sz val="11"/>
        <name val="Arial"/>
        <family val="2"/>
        <scheme val="none"/>
      </font>
      <alignment horizontal="left" vertical="top" textRotation="0" indent="0" justifyLastLine="0" shrinkToFit="0" readingOrder="0"/>
    </dxf>
    <dxf>
      <font>
        <strike val="0"/>
        <outline val="0"/>
        <shadow val="0"/>
        <u val="none"/>
        <sz val="11"/>
        <name val="Arial"/>
        <family val="2"/>
        <scheme val="none"/>
      </font>
      <alignment horizontal="left" vertical="top" textRotation="0" indent="0" justifyLastLine="0" shrinkToFit="0" readingOrder="0"/>
    </dxf>
    <dxf>
      <font>
        <strike val="0"/>
        <outline val="0"/>
        <shadow val="0"/>
        <u val="none"/>
        <sz val="11"/>
        <name val="Arial"/>
        <family val="2"/>
        <scheme val="none"/>
      </font>
      <alignment horizontal="left" vertical="top" textRotation="0" indent="0" justifyLastLine="0" shrinkToFit="0" readingOrder="0"/>
    </dxf>
    <dxf>
      <font>
        <strike val="0"/>
        <outline val="0"/>
        <shadow val="0"/>
        <u val="none"/>
        <sz val="11"/>
        <name val="Arial"/>
        <family val="2"/>
        <scheme val="none"/>
      </font>
      <alignment horizontal="left" vertical="top" textRotation="0" indent="0" justifyLastLine="0" shrinkToFit="0" readingOrder="0"/>
    </dxf>
    <dxf>
      <font>
        <strike val="0"/>
        <outline val="0"/>
        <shadow val="0"/>
        <u val="none"/>
        <sz val="11"/>
        <name val="Arial"/>
        <family val="2"/>
        <scheme val="none"/>
      </font>
      <alignment horizontal="left" vertical="top" textRotation="0" indent="0" justifyLastLine="0" shrinkToFit="0" readingOrder="0"/>
    </dxf>
    <dxf>
      <font>
        <strike val="0"/>
        <outline val="0"/>
        <shadow val="0"/>
        <u val="none"/>
        <sz val="11"/>
        <name val="Arial"/>
        <family val="2"/>
        <scheme val="none"/>
      </font>
      <alignment horizontal="left" vertical="top" textRotation="0" indent="0" justifyLastLine="0" shrinkToFit="0" readingOrder="0"/>
    </dxf>
    <dxf>
      <font>
        <b val="0"/>
        <i val="0"/>
        <strike val="0"/>
        <condense val="0"/>
        <extend val="0"/>
        <outline val="0"/>
        <shadow val="0"/>
        <u val="none"/>
        <vertAlign val="baseline"/>
        <sz val="11"/>
        <color auto="1"/>
        <name val="Arial"/>
        <family val="2"/>
        <scheme val="none"/>
      </font>
      <alignment horizontal="left" vertical="top" textRotation="0" indent="0" justifyLastLine="0" shrinkToFit="0" readingOrder="0"/>
      <border diagonalUp="0" diagonalDown="0" outline="0">
        <left style="thin">
          <color indexed="64"/>
        </left>
        <right style="thin">
          <color indexed="64"/>
        </right>
        <top style="thin">
          <color indexed="64"/>
        </top>
        <bottom style="medium">
          <color indexed="64"/>
        </bottom>
      </border>
    </dxf>
    <dxf>
      <font>
        <strike val="0"/>
        <outline val="0"/>
        <shadow val="0"/>
        <u val="none"/>
        <sz val="11"/>
        <name val="Arial"/>
        <family val="2"/>
        <scheme val="none"/>
      </font>
      <alignment horizontal="left" vertical="top" textRotation="0" indent="0" justifyLastLine="0" shrinkToFit="0" readingOrder="0"/>
    </dxf>
    <dxf>
      <font>
        <strike val="0"/>
        <outline val="0"/>
        <shadow val="0"/>
        <u val="none"/>
        <sz val="11"/>
        <name val="Arial"/>
        <family val="2"/>
        <scheme val="none"/>
      </font>
      <alignment horizontal="left" vertical="top" textRotation="0" indent="0" justifyLastLine="0" shrinkToFit="0" readingOrder="0"/>
    </dxf>
    <dxf>
      <border diagonalUp="0" diagonalDown="0">
        <left style="medium">
          <color indexed="64"/>
        </left>
        <right style="medium">
          <color indexed="64"/>
        </right>
        <top style="medium">
          <color indexed="64"/>
        </top>
        <bottom style="medium">
          <color indexed="64"/>
        </bottom>
      </border>
    </dxf>
    <dxf>
      <font>
        <strike val="0"/>
        <outline val="0"/>
        <shadow val="0"/>
        <u val="none"/>
        <sz val="11"/>
        <name val="Arial"/>
        <family val="2"/>
        <scheme val="none"/>
      </font>
      <alignment horizontal="left" vertical="top" textRotation="0" indent="0" justifyLastLine="0" shrinkToFit="0" readingOrder="0"/>
    </dxf>
    <dxf>
      <border>
        <bottom style="medium">
          <color indexed="64"/>
        </bottom>
      </border>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lef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Arial"/>
        <family val="2"/>
        <scheme val="none"/>
      </font>
      <numFmt numFmtId="168" formatCode="[=0]0;[&lt;0.001]0.00E+00;#,##0.000"/>
      <fill>
        <patternFill patternType="none">
          <fgColor indexed="64"/>
          <bgColor indexed="65"/>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medium">
          <color indexed="64"/>
        </bottom>
      </border>
    </dxf>
    <dxf>
      <font>
        <b val="0"/>
        <i val="0"/>
        <strike val="0"/>
        <condense val="0"/>
        <extend val="0"/>
        <outline val="0"/>
        <shadow val="0"/>
        <u val="none"/>
        <vertAlign val="baseline"/>
        <sz val="11"/>
        <color theme="1"/>
        <name val="Arial"/>
        <family val="2"/>
        <scheme val="none"/>
      </font>
      <numFmt numFmtId="168" formatCode="[=0]0;[&lt;0.001]0.00E+00;#,##0.000"/>
      <fill>
        <patternFill patternType="none">
          <fgColor indexed="64"/>
          <bgColor indexed="65"/>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medium">
          <color indexed="64"/>
        </bottom>
      </border>
    </dxf>
    <dxf>
      <font>
        <b val="0"/>
        <i val="0"/>
        <strike val="0"/>
        <condense val="0"/>
        <extend val="0"/>
        <outline val="0"/>
        <shadow val="0"/>
        <u val="none"/>
        <vertAlign val="baseline"/>
        <sz val="11"/>
        <color theme="1"/>
        <name val="Arial"/>
        <family val="2"/>
        <scheme val="none"/>
      </font>
      <numFmt numFmtId="168" formatCode="[=0]0;[&lt;0.001]0.00E+00;#,##0.000"/>
      <fill>
        <patternFill patternType="none">
          <fgColor indexed="64"/>
          <bgColor indexed="65"/>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medium">
          <color indexed="64"/>
        </bottom>
      </border>
    </dxf>
    <dxf>
      <font>
        <b val="0"/>
        <i val="0"/>
        <strike val="0"/>
        <condense val="0"/>
        <extend val="0"/>
        <outline val="0"/>
        <shadow val="0"/>
        <u val="none"/>
        <vertAlign val="baseline"/>
        <sz val="11"/>
        <color theme="1"/>
        <name val="Arial"/>
        <family val="2"/>
        <scheme val="none"/>
      </font>
      <numFmt numFmtId="168" formatCode="[=0]0;[&lt;0.001]0.00E+00;#,##0.000"/>
      <fill>
        <patternFill patternType="none">
          <fgColor indexed="64"/>
          <bgColor indexed="65"/>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medium">
          <color indexed="64"/>
        </bottom>
      </border>
    </dxf>
    <dxf>
      <font>
        <b val="0"/>
        <i val="0"/>
        <strike val="0"/>
        <condense val="0"/>
        <extend val="0"/>
        <outline val="0"/>
        <shadow val="0"/>
        <u val="none"/>
        <vertAlign val="baseline"/>
        <sz val="11"/>
        <color theme="1"/>
        <name val="Arial"/>
        <family val="2"/>
        <scheme val="none"/>
      </font>
      <numFmt numFmtId="168" formatCode="[=0]0;[&lt;0.001]0.00E+00;#,##0.000"/>
      <fill>
        <patternFill patternType="none">
          <fgColor indexed="64"/>
          <bgColor indexed="65"/>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medium">
          <color indexed="64"/>
        </bottom>
      </border>
    </dxf>
    <dxf>
      <font>
        <b val="0"/>
        <i val="0"/>
        <strike val="0"/>
        <condense val="0"/>
        <extend val="0"/>
        <outline val="0"/>
        <shadow val="0"/>
        <u val="none"/>
        <vertAlign val="baseline"/>
        <sz val="11"/>
        <color theme="1"/>
        <name val="Arial"/>
        <family val="2"/>
        <scheme val="none"/>
      </font>
      <numFmt numFmtId="168" formatCode="[=0]0;[&lt;0.001]0.00E+00;#,##0.000"/>
      <fill>
        <patternFill patternType="none">
          <fgColor indexed="64"/>
          <bgColor indexed="65"/>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medium">
          <color indexed="64"/>
        </bottom>
      </border>
    </dxf>
    <dxf>
      <font>
        <b val="0"/>
        <i val="0"/>
        <strike val="0"/>
        <condense val="0"/>
        <extend val="0"/>
        <outline val="0"/>
        <shadow val="0"/>
        <u val="none"/>
        <vertAlign val="baseline"/>
        <sz val="11"/>
        <color theme="1"/>
        <name val="Arial"/>
        <family val="2"/>
        <scheme val="none"/>
      </font>
      <numFmt numFmtId="168" formatCode="[=0]0;[&lt;0.001]0.00E+00;#,##0.000"/>
      <fill>
        <patternFill patternType="none">
          <fgColor indexed="64"/>
          <bgColor indexed="65"/>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medium">
          <color indexed="64"/>
        </bottom>
      </border>
    </dxf>
    <dxf>
      <font>
        <b val="0"/>
        <i val="0"/>
        <strike val="0"/>
        <condense val="0"/>
        <extend val="0"/>
        <outline val="0"/>
        <shadow val="0"/>
        <u val="none"/>
        <vertAlign val="baseline"/>
        <sz val="11"/>
        <color theme="1"/>
        <name val="Arial"/>
        <family val="2"/>
        <scheme val="none"/>
      </font>
      <numFmt numFmtId="168" formatCode="[=0]0;[&lt;0.001]0.00E+00;#,##0.000"/>
      <fill>
        <patternFill patternType="none">
          <fgColor indexed="64"/>
          <bgColor indexed="65"/>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medium">
          <color indexed="64"/>
        </bottom>
      </border>
    </dxf>
    <dxf>
      <font>
        <b val="0"/>
        <i val="0"/>
        <strike val="0"/>
        <condense val="0"/>
        <extend val="0"/>
        <outline val="0"/>
        <shadow val="0"/>
        <u val="none"/>
        <vertAlign val="baseline"/>
        <sz val="11"/>
        <color theme="1"/>
        <name val="Arial"/>
        <family val="2"/>
        <scheme val="none"/>
      </font>
      <numFmt numFmtId="168" formatCode="[=0]0;[&lt;0.001]0.00E+00;#,##0.000"/>
      <fill>
        <patternFill patternType="none">
          <fgColor indexed="64"/>
          <bgColor indexed="65"/>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medium">
          <color indexed="64"/>
        </bottom>
      </border>
    </dxf>
    <dxf>
      <font>
        <b val="0"/>
        <i val="0"/>
        <strike val="0"/>
        <condense val="0"/>
        <extend val="0"/>
        <outline val="0"/>
        <shadow val="0"/>
        <u val="none"/>
        <vertAlign val="baseline"/>
        <sz val="11"/>
        <color theme="1"/>
        <name val="Arial"/>
        <family val="2"/>
        <scheme val="none"/>
      </font>
      <numFmt numFmtId="168" formatCode="[=0]0;[&lt;0.001]0.00E+00;#,##0.000"/>
      <fill>
        <patternFill patternType="none">
          <fgColor indexed="64"/>
          <bgColor indexed="65"/>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medium">
          <color indexed="64"/>
        </bottom>
      </border>
    </dxf>
    <dxf>
      <font>
        <strike val="0"/>
        <outline val="0"/>
        <shadow val="0"/>
        <u val="none"/>
        <vertAlign val="baseline"/>
        <sz val="11"/>
        <color auto="1"/>
        <name val="Arial"/>
        <family val="2"/>
        <scheme val="none"/>
      </font>
      <fill>
        <patternFill patternType="solid">
          <fgColor indexed="64"/>
          <bgColor theme="0" tint="-4.9989318521683403E-2"/>
        </patternFill>
      </fill>
      <alignment horizontal="left" vertical="top" textRotation="0" indent="0" justifyLastLine="0" shrinkToFit="0" readingOrder="0"/>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border diagonalUp="0" diagonalDown="0" outline="0">
        <left style="medium">
          <color indexed="64"/>
        </left>
        <right style="medium">
          <color indexed="64"/>
        </right>
      </border>
    </dxf>
    <dxf>
      <border outline="0">
        <top style="medium">
          <color indexed="64"/>
        </top>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left" vertical="bottom" textRotation="0" wrapText="0" indent="0" justifyLastLine="0" shrinkToFit="0" readingOrder="0"/>
    </dxf>
    <dxf>
      <border outline="0">
        <bottom style="medium">
          <color indexed="64"/>
        </bottom>
      </border>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Arial"/>
        <family val="2"/>
        <scheme val="none"/>
      </font>
      <numFmt numFmtId="168" formatCode="[=0]0;[&lt;0.001]0.00E+00;#,##0.000"/>
      <fill>
        <patternFill patternType="none">
          <fgColor indexed="64"/>
          <bgColor indexed="65"/>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medium">
          <color indexed="64"/>
        </bottom>
      </border>
    </dxf>
    <dxf>
      <font>
        <b val="0"/>
        <i val="0"/>
        <strike val="0"/>
        <condense val="0"/>
        <extend val="0"/>
        <outline val="0"/>
        <shadow val="0"/>
        <u val="none"/>
        <vertAlign val="baseline"/>
        <sz val="11"/>
        <color theme="1"/>
        <name val="Arial"/>
        <family val="2"/>
        <scheme val="none"/>
      </font>
      <numFmt numFmtId="168" formatCode="[=0]0;[&lt;0.001]0.00E+00;#,##0.000"/>
      <fill>
        <patternFill patternType="none">
          <fgColor indexed="64"/>
          <bgColor indexed="65"/>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medium">
          <color indexed="64"/>
        </bottom>
      </border>
    </dxf>
    <dxf>
      <font>
        <b val="0"/>
        <i val="0"/>
        <strike val="0"/>
        <condense val="0"/>
        <extend val="0"/>
        <outline val="0"/>
        <shadow val="0"/>
        <u val="none"/>
        <vertAlign val="baseline"/>
        <sz val="11"/>
        <color theme="1"/>
        <name val="Arial"/>
        <family val="2"/>
        <scheme val="none"/>
      </font>
      <numFmt numFmtId="168" formatCode="[=0]0;[&lt;0.001]0.00E+00;#,##0.000"/>
      <fill>
        <patternFill patternType="none">
          <fgColor indexed="64"/>
          <bgColor indexed="65"/>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medium">
          <color indexed="64"/>
        </bottom>
      </border>
    </dxf>
    <dxf>
      <font>
        <b val="0"/>
        <i val="0"/>
        <strike val="0"/>
        <condense val="0"/>
        <extend val="0"/>
        <outline val="0"/>
        <shadow val="0"/>
        <u val="none"/>
        <vertAlign val="baseline"/>
        <sz val="11"/>
        <color theme="1"/>
        <name val="Arial"/>
        <family val="2"/>
        <scheme val="none"/>
      </font>
      <numFmt numFmtId="168" formatCode="[=0]0;[&lt;0.001]0.00E+00;#,##0.000"/>
      <fill>
        <patternFill patternType="none">
          <fgColor indexed="64"/>
          <bgColor indexed="65"/>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medium">
          <color indexed="64"/>
        </bottom>
      </border>
    </dxf>
    <dxf>
      <font>
        <b val="0"/>
        <i val="0"/>
        <strike val="0"/>
        <condense val="0"/>
        <extend val="0"/>
        <outline val="0"/>
        <shadow val="0"/>
        <u val="none"/>
        <vertAlign val="baseline"/>
        <sz val="11"/>
        <color theme="1"/>
        <name val="Arial"/>
        <family val="2"/>
        <scheme val="none"/>
      </font>
      <numFmt numFmtId="168" formatCode="[=0]0;[&lt;0.001]0.00E+00;#,##0.000"/>
      <fill>
        <patternFill patternType="none">
          <fgColor indexed="64"/>
          <bgColor indexed="65"/>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medium">
          <color indexed="64"/>
        </bottom>
      </border>
    </dxf>
    <dxf>
      <font>
        <b val="0"/>
        <i val="0"/>
        <strike val="0"/>
        <condense val="0"/>
        <extend val="0"/>
        <outline val="0"/>
        <shadow val="0"/>
        <u val="none"/>
        <vertAlign val="baseline"/>
        <sz val="11"/>
        <color theme="1"/>
        <name val="Arial"/>
        <family val="2"/>
        <scheme val="none"/>
      </font>
      <numFmt numFmtId="168" formatCode="[=0]0;[&lt;0.001]0.00E+00;#,##0.000"/>
      <fill>
        <patternFill patternType="none">
          <fgColor indexed="64"/>
          <bgColor indexed="65"/>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medium">
          <color indexed="64"/>
        </bottom>
      </border>
    </dxf>
    <dxf>
      <font>
        <b val="0"/>
        <i val="0"/>
        <strike val="0"/>
        <condense val="0"/>
        <extend val="0"/>
        <outline val="0"/>
        <shadow val="0"/>
        <u val="none"/>
        <vertAlign val="baseline"/>
        <sz val="11"/>
        <color theme="1"/>
        <name val="Arial"/>
        <family val="2"/>
        <scheme val="none"/>
      </font>
      <numFmt numFmtId="168" formatCode="[=0]0;[&lt;0.001]0.00E+00;#,##0.000"/>
      <fill>
        <patternFill patternType="none">
          <fgColor indexed="64"/>
          <bgColor indexed="65"/>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medium">
          <color indexed="64"/>
        </bottom>
      </border>
    </dxf>
    <dxf>
      <font>
        <b val="0"/>
        <i val="0"/>
        <strike val="0"/>
        <condense val="0"/>
        <extend val="0"/>
        <outline val="0"/>
        <shadow val="0"/>
        <u val="none"/>
        <vertAlign val="baseline"/>
        <sz val="11"/>
        <color theme="1"/>
        <name val="Arial"/>
        <family val="2"/>
        <scheme val="none"/>
      </font>
      <numFmt numFmtId="168" formatCode="[=0]0;[&lt;0.001]0.00E+00;#,##0.000"/>
      <fill>
        <patternFill patternType="none">
          <fgColor indexed="64"/>
          <bgColor indexed="65"/>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medium">
          <color indexed="64"/>
        </bottom>
      </border>
    </dxf>
    <dxf>
      <font>
        <b val="0"/>
        <i val="0"/>
        <strike val="0"/>
        <condense val="0"/>
        <extend val="0"/>
        <outline val="0"/>
        <shadow val="0"/>
        <u val="none"/>
        <vertAlign val="baseline"/>
        <sz val="11"/>
        <color theme="1"/>
        <name val="Arial"/>
        <family val="2"/>
        <scheme val="none"/>
      </font>
      <numFmt numFmtId="168" formatCode="[=0]0;[&lt;0.001]0.00E+00;#,##0.000"/>
      <fill>
        <patternFill patternType="none">
          <fgColor indexed="64"/>
          <bgColor indexed="65"/>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medium">
          <color indexed="64"/>
        </bottom>
      </border>
    </dxf>
    <dxf>
      <font>
        <b val="0"/>
        <i val="0"/>
        <strike val="0"/>
        <condense val="0"/>
        <extend val="0"/>
        <outline val="0"/>
        <shadow val="0"/>
        <u val="none"/>
        <vertAlign val="baseline"/>
        <sz val="11"/>
        <color theme="1"/>
        <name val="Arial"/>
        <family val="2"/>
        <scheme val="none"/>
      </font>
      <numFmt numFmtId="168" formatCode="[=0]0;[&lt;0.001]0.00E+00;#,##0.000"/>
      <fill>
        <patternFill patternType="none">
          <fgColor indexed="64"/>
          <bgColor indexed="65"/>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medium">
          <color indexed="64"/>
        </bottom>
      </border>
    </dxf>
    <dxf>
      <font>
        <strike val="0"/>
        <outline val="0"/>
        <shadow val="0"/>
        <name val="Arial"/>
        <family val="2"/>
        <scheme val="none"/>
      </font>
      <alignment horizontal="left" vertical="top" textRotation="0" indent="0" justifyLastLine="0" shrinkToFit="0" readingOrder="0"/>
    </dxf>
    <dxf>
      <font>
        <strike val="0"/>
        <outline val="0"/>
        <shadow val="0"/>
        <name val="Arial"/>
        <family val="2"/>
        <scheme val="none"/>
      </font>
      <alignment horizontal="left" vertical="top" textRotation="0" indent="0" justifyLastLine="0" shrinkToFit="0" readingOrder="0"/>
    </dxf>
    <dxf>
      <font>
        <strike val="0"/>
        <outline val="0"/>
        <shadow val="0"/>
        <name val="Arial"/>
        <family val="2"/>
        <scheme val="none"/>
      </font>
      <alignment horizontal="left" vertical="top" textRotation="0" indent="0" justifyLastLine="0" shrinkToFit="0" readingOrder="0"/>
      <border diagonalUp="0" diagonalDown="0" outline="0">
        <left style="medium">
          <color indexed="64"/>
        </left>
        <right style="medium">
          <color indexed="64"/>
        </right>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left" vertical="top" textRotation="0" wrapText="0" indent="0" justifyLastLine="0" shrinkToFit="0" readingOrder="0"/>
    </dxf>
    <dxf>
      <border outline="0">
        <bottom style="medium">
          <color indexed="64"/>
        </bottom>
      </border>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lef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164" formatCode="0.00000"/>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164" formatCode="0.00000"/>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164" formatCode="0.00000"/>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164" formatCode="0.00000"/>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164" formatCode="0.00000"/>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164" formatCode="0.00000"/>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164" formatCode="0.00000"/>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164" formatCode="0.00000"/>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164" formatCode="0.00000"/>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164" formatCode="0.00000"/>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name val="Arial"/>
        <family val="2"/>
        <scheme val="none"/>
      </font>
      <alignment horizontal="general" vertical="top" textRotation="0" wrapText="1"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0"/>
        <name val="Arial"/>
        <family val="2"/>
        <scheme val="none"/>
      </font>
      <fill>
        <patternFill patternType="solid">
          <fgColor indexed="64"/>
          <bgColor theme="0"/>
        </patternFill>
      </fill>
      <alignment horizontal="general" vertical="top" textRotation="0" indent="0" justifyLastLine="0" shrinkToFit="0" readingOrder="0"/>
      <border diagonalUp="0" diagonalDown="0" outline="0">
        <left style="medium">
          <color indexed="64"/>
        </left>
        <right style="medium">
          <color indexed="64"/>
        </right>
        <top/>
        <bottom/>
      </border>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family val="2"/>
        <scheme val="none"/>
      </font>
      <alignment horizontal="general" vertical="top" textRotation="0" wrapText="0" indent="0" justifyLastLine="0" shrinkToFit="0" readingOrder="0"/>
    </dxf>
    <dxf>
      <border>
        <bottom style="medium">
          <color indexed="64"/>
        </bottom>
      </border>
    </dxf>
    <dxf>
      <font>
        <strike val="0"/>
        <outline val="0"/>
        <shadow val="0"/>
        <vertAlign val="baseline"/>
        <sz val="11"/>
        <name val="Arial"/>
        <family val="2"/>
        <scheme val="none"/>
      </font>
      <fill>
        <patternFill patternType="none">
          <fgColor indexed="64"/>
          <bgColor auto="1"/>
        </patternFill>
      </fill>
      <alignment horizontal="general" vertical="top" textRotation="0" indent="0" justifyLastLine="0" shrinkToFit="0" readingOrder="0"/>
    </dxf>
    <dxf>
      <font>
        <strike val="0"/>
        <outline val="0"/>
        <shadow val="0"/>
        <vertAlign val="baseline"/>
        <name val="Arial"/>
        <family val="2"/>
        <scheme val="none"/>
      </font>
      <numFmt numFmtId="165" formatCode="[=0]0;[&lt;0.01]0.00E+00;#,##0.00"/>
      <alignment horizontal="left" vertical="top" textRotation="0" indent="0" justifyLastLine="0" shrinkToFit="0" readingOrder="0"/>
    </dxf>
    <dxf>
      <font>
        <strike val="0"/>
        <outline val="0"/>
        <shadow val="0"/>
        <vertAlign val="baseline"/>
        <name val="Arial"/>
        <family val="2"/>
        <scheme val="none"/>
      </font>
      <numFmt numFmtId="165" formatCode="[=0]0;[&lt;0.01]0.00E+00;#,##0.00"/>
      <alignment horizontal="left" vertical="top" textRotation="0" indent="0" justifyLastLine="0" shrinkToFit="0" readingOrder="0"/>
    </dxf>
    <dxf>
      <font>
        <strike val="0"/>
        <outline val="0"/>
        <shadow val="0"/>
        <vertAlign val="baseline"/>
        <name val="Arial"/>
        <family val="2"/>
        <scheme val="none"/>
      </font>
      <numFmt numFmtId="165" formatCode="[=0]0;[&lt;0.01]0.00E+00;#,##0.00"/>
      <alignment horizontal="left" vertical="top" textRotation="0" indent="0" justifyLastLine="0" shrinkToFit="0" readingOrder="0"/>
    </dxf>
    <dxf>
      <font>
        <strike val="0"/>
        <outline val="0"/>
        <shadow val="0"/>
        <vertAlign val="baseline"/>
        <name val="Arial"/>
        <family val="2"/>
        <scheme val="none"/>
      </font>
      <numFmt numFmtId="165" formatCode="[=0]0;[&lt;0.01]0.00E+00;#,##0.00"/>
      <alignment horizontal="left" vertical="top" textRotation="0" indent="0" justifyLastLine="0" shrinkToFit="0" readingOrder="0"/>
    </dxf>
    <dxf>
      <font>
        <strike val="0"/>
        <outline val="0"/>
        <shadow val="0"/>
        <vertAlign val="baseline"/>
        <name val="Arial"/>
        <family val="2"/>
        <scheme val="none"/>
      </font>
      <numFmt numFmtId="165" formatCode="[=0]0;[&lt;0.01]0.00E+00;#,##0.00"/>
      <alignment horizontal="left" vertical="top" textRotation="0" indent="0" justifyLastLine="0" shrinkToFit="0" readingOrder="0"/>
    </dxf>
    <dxf>
      <font>
        <strike val="0"/>
        <outline val="0"/>
        <shadow val="0"/>
        <vertAlign val="baseline"/>
        <name val="Arial"/>
        <family val="2"/>
        <scheme val="none"/>
      </font>
      <numFmt numFmtId="165" formatCode="[=0]0;[&lt;0.01]0.00E+00;#,##0.00"/>
      <alignment horizontal="left" vertical="top" textRotation="0" indent="0" justifyLastLine="0" shrinkToFit="0" readingOrder="0"/>
    </dxf>
    <dxf>
      <font>
        <strike val="0"/>
        <outline val="0"/>
        <shadow val="0"/>
        <vertAlign val="baseline"/>
        <name val="Arial"/>
        <family val="2"/>
        <scheme val="none"/>
      </font>
      <numFmt numFmtId="165" formatCode="[=0]0;[&lt;0.01]0.00E+00;#,##0.00"/>
      <alignment horizontal="left" vertical="top" textRotation="0" indent="0" justifyLastLine="0" shrinkToFit="0" readingOrder="0"/>
    </dxf>
    <dxf>
      <font>
        <strike val="0"/>
        <outline val="0"/>
        <shadow val="0"/>
        <vertAlign val="baseline"/>
        <name val="Arial"/>
        <family val="2"/>
        <scheme val="none"/>
      </font>
      <numFmt numFmtId="165" formatCode="[=0]0;[&lt;0.01]0.00E+00;#,##0.00"/>
      <alignment horizontal="left" vertical="top" textRotation="0" indent="0" justifyLastLine="0" shrinkToFit="0" readingOrder="0"/>
    </dxf>
    <dxf>
      <font>
        <strike val="0"/>
        <outline val="0"/>
        <shadow val="0"/>
        <vertAlign val="baseline"/>
        <name val="Arial"/>
        <family val="2"/>
        <scheme val="none"/>
      </font>
      <numFmt numFmtId="165" formatCode="[=0]0;[&lt;0.01]0.00E+00;#,##0.00"/>
      <alignment horizontal="left" vertical="top" textRotation="0" indent="0" justifyLastLine="0" shrinkToFit="0" readingOrder="0"/>
    </dxf>
    <dxf>
      <font>
        <strike val="0"/>
        <outline val="0"/>
        <shadow val="0"/>
        <vertAlign val="baseline"/>
        <name val="Arial"/>
        <family val="2"/>
        <scheme val="none"/>
      </font>
      <numFmt numFmtId="165" formatCode="[=0]0;[&lt;0.01]0.00E+00;#,##0.00"/>
      <alignment horizontal="left" vertical="top" textRotation="0" indent="0" justifyLastLine="0" shrinkToFit="0" readingOrder="0"/>
    </dxf>
    <dxf>
      <font>
        <strike val="0"/>
        <outline val="0"/>
        <shadow val="0"/>
        <vertAlign val="baseline"/>
        <name val="Arial"/>
        <family val="2"/>
        <scheme val="none"/>
      </font>
      <numFmt numFmtId="165" formatCode="[=0]0;[&lt;0.01]0.00E+00;#,##0.00"/>
      <alignment horizontal="left" vertical="top" textRotation="0" indent="0" justifyLastLine="0" shrinkToFit="0" readingOrder="0"/>
    </dxf>
    <dxf>
      <font>
        <strike val="0"/>
        <outline val="0"/>
        <shadow val="0"/>
        <vertAlign val="baseline"/>
        <name val="Arial"/>
        <family val="2"/>
        <scheme val="none"/>
      </font>
      <numFmt numFmtId="165" formatCode="[=0]0;[&lt;0.01]0.00E+00;#,##0.00"/>
      <alignment horizontal="left" vertical="top" textRotation="0" indent="0" justifyLastLine="0" shrinkToFit="0" readingOrder="0"/>
    </dxf>
    <dxf>
      <font>
        <strike val="0"/>
        <outline val="0"/>
        <shadow val="0"/>
        <vertAlign val="baseline"/>
        <name val="Arial"/>
        <family val="2"/>
        <scheme val="none"/>
      </font>
      <numFmt numFmtId="165" formatCode="[=0]0;[&lt;0.01]0.00E+00;#,##0.00"/>
      <alignment horizontal="left" vertical="top" textRotation="0" indent="0" justifyLastLine="0" shrinkToFit="0" readingOrder="0"/>
    </dxf>
    <dxf>
      <font>
        <strike val="0"/>
        <outline val="0"/>
        <shadow val="0"/>
        <vertAlign val="baseline"/>
        <name val="Arial"/>
        <family val="2"/>
        <scheme val="none"/>
      </font>
      <numFmt numFmtId="165" formatCode="[=0]0;[&lt;0.01]0.00E+00;#,##0.00"/>
      <alignment horizontal="left" vertical="top" textRotation="0" indent="0" justifyLastLine="0" shrinkToFit="0" readingOrder="0"/>
    </dxf>
    <dxf>
      <font>
        <strike val="0"/>
        <outline val="0"/>
        <shadow val="0"/>
        <vertAlign val="baseline"/>
        <name val="Arial"/>
        <family val="2"/>
        <scheme val="none"/>
      </font>
      <numFmt numFmtId="165" formatCode="[=0]0;[&lt;0.01]0.00E+00;#,##0.00"/>
      <alignment horizontal="left" vertical="top" textRotation="0" indent="0" justifyLastLine="0" shrinkToFit="0" readingOrder="0"/>
    </dxf>
    <dxf>
      <font>
        <strike val="0"/>
        <outline val="0"/>
        <shadow val="0"/>
        <vertAlign val="baseline"/>
        <name val="Arial"/>
        <family val="2"/>
        <scheme val="none"/>
      </font>
      <numFmt numFmtId="165" formatCode="[=0]0;[&lt;0.01]0.00E+00;#,##0.00"/>
      <alignment horizontal="left" vertical="top" textRotation="0" indent="0" justifyLastLine="0" shrinkToFit="0" readingOrder="0"/>
    </dxf>
    <dxf>
      <font>
        <strike val="0"/>
        <outline val="0"/>
        <shadow val="0"/>
        <vertAlign val="baseline"/>
        <name val="Arial"/>
        <family val="2"/>
        <scheme val="none"/>
      </font>
      <numFmt numFmtId="165" formatCode="[=0]0;[&lt;0.01]0.00E+00;#,##0.00"/>
      <alignment horizontal="left" vertical="top" textRotation="0" indent="0" justifyLastLine="0" shrinkToFit="0" readingOrder="0"/>
    </dxf>
    <dxf>
      <font>
        <strike val="0"/>
        <outline val="0"/>
        <shadow val="0"/>
        <vertAlign val="baseline"/>
        <name val="Arial"/>
        <family val="2"/>
        <scheme val="none"/>
      </font>
      <numFmt numFmtId="165" formatCode="[=0]0;[&lt;0.01]0.00E+00;#,##0.00"/>
      <alignment horizontal="left" vertical="top" textRotation="0" indent="0" justifyLastLine="0" shrinkToFit="0" readingOrder="0"/>
    </dxf>
    <dxf>
      <font>
        <strike val="0"/>
        <outline val="0"/>
        <shadow val="0"/>
        <vertAlign val="baseline"/>
        <name val="Arial"/>
        <family val="2"/>
        <scheme val="none"/>
      </font>
      <numFmt numFmtId="165" formatCode="[=0]0;[&lt;0.01]0.00E+00;#,##0.00"/>
      <alignment horizontal="left" vertical="top" textRotation="0" indent="0" justifyLastLine="0" shrinkToFit="0" readingOrder="0"/>
    </dxf>
    <dxf>
      <font>
        <strike val="0"/>
        <outline val="0"/>
        <shadow val="0"/>
        <vertAlign val="baseline"/>
        <name val="Arial"/>
        <family val="2"/>
        <scheme val="none"/>
      </font>
      <numFmt numFmtId="165" formatCode="[=0]0;[&lt;0.01]0.00E+00;#,##0.00"/>
      <alignment horizontal="left" vertical="top" textRotation="0" indent="0" justifyLastLine="0" shrinkToFit="0" readingOrder="0"/>
    </dxf>
    <dxf>
      <font>
        <strike val="0"/>
        <outline val="0"/>
        <shadow val="0"/>
        <vertAlign val="baseline"/>
        <name val="Arial"/>
        <family val="2"/>
        <scheme val="none"/>
      </font>
      <numFmt numFmtId="165" formatCode="[=0]0;[&lt;0.01]0.00E+00;#,##0.00"/>
      <alignment horizontal="left" vertical="top" textRotation="0" indent="0" justifyLastLine="0" shrinkToFit="0" readingOrder="0"/>
    </dxf>
    <dxf>
      <font>
        <strike val="0"/>
        <outline val="0"/>
        <shadow val="0"/>
        <vertAlign val="baseline"/>
        <name val="Arial"/>
        <family val="2"/>
        <scheme val="none"/>
      </font>
      <numFmt numFmtId="165" formatCode="[=0]0;[&lt;0.01]0.00E+00;#,##0.00"/>
      <alignment horizontal="left" vertical="top" textRotation="0" indent="0" justifyLastLine="0" shrinkToFit="0" readingOrder="0"/>
    </dxf>
    <dxf>
      <font>
        <strike val="0"/>
        <outline val="0"/>
        <shadow val="0"/>
        <vertAlign val="baseline"/>
        <name val="Arial"/>
        <family val="2"/>
        <scheme val="none"/>
      </font>
      <numFmt numFmtId="165" formatCode="[=0]0;[&lt;0.01]0.00E+00;#,##0.00"/>
      <alignment horizontal="left" vertical="top" textRotation="0" indent="0" justifyLastLine="0" shrinkToFit="0" readingOrder="0"/>
    </dxf>
    <dxf>
      <font>
        <strike val="0"/>
        <outline val="0"/>
        <shadow val="0"/>
        <vertAlign val="baseline"/>
        <name val="Arial"/>
        <family val="2"/>
        <scheme val="none"/>
      </font>
      <numFmt numFmtId="165" formatCode="[=0]0;[&lt;0.01]0.00E+00;#,##0.00"/>
      <alignment horizontal="left" vertical="top" textRotation="0" indent="0" justifyLastLine="0" shrinkToFit="0" readingOrder="0"/>
    </dxf>
    <dxf>
      <font>
        <strike val="0"/>
        <outline val="0"/>
        <shadow val="0"/>
        <vertAlign val="baseline"/>
        <name val="Arial"/>
        <family val="2"/>
        <scheme val="none"/>
      </font>
      <numFmt numFmtId="165" formatCode="[=0]0;[&lt;0.01]0.00E+00;#,##0.00"/>
      <alignment horizontal="left" vertical="top" textRotation="0" indent="0" justifyLastLine="0" shrinkToFit="0" readingOrder="0"/>
    </dxf>
    <dxf>
      <font>
        <strike val="0"/>
        <outline val="0"/>
        <shadow val="0"/>
        <vertAlign val="baseline"/>
        <name val="Arial"/>
        <family val="2"/>
        <scheme val="none"/>
      </font>
      <numFmt numFmtId="165" formatCode="[=0]0;[&lt;0.01]0.00E+00;#,##0.00"/>
      <alignment horizontal="left" vertical="top" textRotation="0" indent="0" justifyLastLine="0" shrinkToFit="0" readingOrder="0"/>
    </dxf>
    <dxf>
      <font>
        <strike val="0"/>
        <outline val="0"/>
        <shadow val="0"/>
        <vertAlign val="baseline"/>
        <name val="Arial"/>
        <family val="2"/>
        <scheme val="none"/>
      </font>
      <numFmt numFmtId="165" formatCode="[=0]0;[&lt;0.01]0.00E+00;#,##0.00"/>
      <alignment horizontal="left" vertical="top" textRotation="0" indent="0" justifyLastLine="0" shrinkToFit="0" readingOrder="0"/>
    </dxf>
    <dxf>
      <font>
        <strike val="0"/>
        <outline val="0"/>
        <shadow val="0"/>
        <vertAlign val="baseline"/>
        <name val="Arial"/>
        <family val="2"/>
        <scheme val="none"/>
      </font>
      <numFmt numFmtId="165" formatCode="[=0]0;[&lt;0.01]0.00E+00;#,##0.00"/>
      <alignment horizontal="left" vertical="top" textRotation="0" indent="0" justifyLastLine="0" shrinkToFit="0" readingOrder="0"/>
    </dxf>
    <dxf>
      <font>
        <strike val="0"/>
        <outline val="0"/>
        <shadow val="0"/>
        <vertAlign val="baseline"/>
        <name val="Arial"/>
        <family val="2"/>
        <scheme val="none"/>
      </font>
      <numFmt numFmtId="165" formatCode="[=0]0;[&lt;0.01]0.00E+00;#,##0.00"/>
      <alignment horizontal="left" vertical="top" textRotation="0" indent="0" justifyLastLine="0" shrinkToFit="0" readingOrder="0"/>
    </dxf>
    <dxf>
      <font>
        <strike val="0"/>
        <outline val="0"/>
        <shadow val="0"/>
        <vertAlign val="baseline"/>
        <name val="Arial"/>
        <family val="2"/>
        <scheme val="none"/>
      </font>
      <numFmt numFmtId="165" formatCode="[=0]0;[&lt;0.01]0.00E+00;#,##0.00"/>
      <alignment horizontal="left" vertical="top" textRotation="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left" vertical="top" textRotation="0" wrapText="0" indent="0" justifyLastLine="0" shrinkToFit="0" readingOrder="0"/>
      <border diagonalUp="0" diagonalDown="0" outline="0">
        <left/>
        <right style="medium">
          <color indexed="64"/>
        </right>
        <top style="thin">
          <color indexed="64"/>
        </top>
        <bottom style="thin">
          <color indexed="64"/>
        </bottom>
      </border>
    </dxf>
    <dxf>
      <font>
        <strike val="0"/>
        <outline val="0"/>
        <shadow val="0"/>
        <vertAlign val="baseline"/>
        <name val="Arial"/>
        <family val="2"/>
        <scheme val="none"/>
      </font>
      <numFmt numFmtId="165" formatCode="[=0]0;[&lt;0.01]0.00E+00;#,##0.00"/>
      <alignment horizontal="left" vertical="top" textRotation="0" indent="0" justifyLastLine="0" shrinkToFit="0" readingOrder="0"/>
    </dxf>
    <dxf>
      <border outline="0">
        <left style="medium">
          <color indexed="64"/>
        </left>
        <right style="medium">
          <color indexed="64"/>
        </right>
        <top style="medium">
          <color indexed="64"/>
        </top>
        <bottom style="medium">
          <color indexed="64"/>
        </bottom>
      </border>
    </dxf>
    <dxf>
      <font>
        <strike val="0"/>
        <outline val="0"/>
        <shadow val="0"/>
        <vertAlign val="baseline"/>
        <name val="Arial"/>
        <family val="2"/>
        <scheme val="none"/>
      </font>
    </dxf>
    <dxf>
      <border outline="0">
        <bottom style="thin">
          <color indexed="64"/>
        </bottom>
      </border>
    </dxf>
    <dxf>
      <font>
        <strike val="0"/>
        <outline val="0"/>
        <shadow val="0"/>
        <vertAlign val="baseline"/>
        <name val="Arial"/>
        <family val="2"/>
        <scheme val="none"/>
      </font>
      <fill>
        <patternFill patternType="none">
          <fgColor indexed="64"/>
          <bgColor auto="1"/>
        </patternFill>
      </fill>
      <alignment horizontal="lef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alignment horizontal="left" vertical="top" textRotation="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family val="2"/>
        <scheme val="none"/>
      </font>
      <alignment horizontal="left" vertical="top" textRotation="0"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medium">
          <color indexed="64"/>
        </left>
        <right style="medium">
          <color indexed="64"/>
        </right>
        <top style="medium">
          <color indexed="64"/>
        </top>
        <bottom style="medium">
          <color indexed="64"/>
        </bottom>
      </border>
    </dxf>
    <dxf>
      <font>
        <strike val="0"/>
        <outline val="0"/>
        <shadow val="0"/>
        <vertAlign val="baseline"/>
        <name val="Arial"/>
        <family val="2"/>
        <scheme val="none"/>
      </font>
      <alignment horizontal="left" vertical="top" textRotation="0" indent="0" justifyLastLine="0" shrinkToFit="0" readingOrder="0"/>
    </dxf>
    <dxf>
      <border outline="0">
        <bottom style="thin">
          <color indexed="64"/>
        </bottom>
      </border>
    </dxf>
    <dxf>
      <font>
        <b/>
        <i val="0"/>
        <strike val="0"/>
        <condense val="0"/>
        <extend val="0"/>
        <outline val="0"/>
        <shadow val="0"/>
        <u val="none"/>
        <vertAlign val="baseline"/>
        <sz val="11"/>
        <color auto="1"/>
        <name val="Arial"/>
        <family val="2"/>
        <scheme val="none"/>
      </font>
      <alignment horizontal="left" vertical="top" textRotation="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Arial"/>
        <family val="2"/>
        <scheme val="none"/>
      </font>
      <alignment horizontal="left" vertical="top" textRotation="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Arial"/>
        <family val="2"/>
        <scheme val="none"/>
      </font>
      <alignment horizontal="left" vertical="top" textRotation="0"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medium">
          <color indexed="64"/>
        </left>
        <right style="medium">
          <color indexed="64"/>
        </right>
        <top style="medium">
          <color indexed="64"/>
        </top>
        <bottom style="medium">
          <color indexed="64"/>
        </bottom>
      </border>
    </dxf>
    <dxf>
      <font>
        <strike val="0"/>
        <outline val="0"/>
        <shadow val="0"/>
        <vertAlign val="baseline"/>
        <name val="Arial"/>
        <family val="2"/>
        <scheme val="none"/>
      </font>
      <alignment horizontal="left" vertical="top" textRotation="0" indent="0" justifyLastLine="0" shrinkToFit="0" readingOrder="0"/>
    </dxf>
    <dxf>
      <border outline="0">
        <bottom style="thin">
          <color indexed="64"/>
        </bottom>
      </border>
    </dxf>
    <dxf>
      <font>
        <b/>
        <i val="0"/>
        <strike val="0"/>
        <condense val="0"/>
        <extend val="0"/>
        <outline val="0"/>
        <shadow val="0"/>
        <u val="none"/>
        <vertAlign val="baseline"/>
        <sz val="11"/>
        <color theme="1"/>
        <name val="Arial"/>
        <family val="2"/>
        <scheme val="none"/>
      </font>
      <alignment horizontal="left" vertical="top" textRotation="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Arial"/>
        <family val="2"/>
        <scheme val="none"/>
      </font>
      <alignment horizontal="left" vertical="top" textRotation="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Arial"/>
        <family val="2"/>
        <scheme val="none"/>
      </font>
      <alignment horizontal="left" vertical="top" textRotation="0"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medium">
          <color indexed="64"/>
        </left>
        <right style="medium">
          <color indexed="64"/>
        </right>
        <top style="medium">
          <color indexed="64"/>
        </top>
        <bottom style="medium">
          <color indexed="64"/>
        </bottom>
      </border>
    </dxf>
    <dxf>
      <font>
        <strike val="0"/>
        <outline val="0"/>
        <shadow val="0"/>
        <vertAlign val="baseline"/>
        <name val="Arial"/>
        <family val="2"/>
        <scheme val="none"/>
      </font>
      <alignment horizontal="left" vertical="top" textRotation="0" indent="0" justifyLastLine="0" shrinkToFit="0" readingOrder="0"/>
    </dxf>
    <dxf>
      <border outline="0">
        <bottom style="thin">
          <color indexed="64"/>
        </bottom>
      </border>
    </dxf>
    <dxf>
      <font>
        <b/>
        <i val="0"/>
        <strike val="0"/>
        <condense val="0"/>
        <extend val="0"/>
        <outline val="0"/>
        <shadow val="0"/>
        <u val="none"/>
        <vertAlign val="baseline"/>
        <sz val="11"/>
        <color theme="1"/>
        <name val="Arial"/>
        <family val="2"/>
        <scheme val="none"/>
      </font>
      <alignment horizontal="left" vertical="top" textRotation="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Arial"/>
        <family val="2"/>
        <scheme val="none"/>
      </font>
      <alignment horizontal="left" vertical="top" textRotation="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border diagonalUp="0" diagonalDown="0" outline="0">
        <left/>
        <right style="thin">
          <color rgb="FF000000"/>
        </right>
        <top style="thin">
          <color rgb="FF000000"/>
        </top>
        <bottom style="thin">
          <color rgb="FF000000"/>
        </bottom>
      </border>
    </dxf>
    <dxf>
      <border outline="0">
        <left style="medium">
          <color indexed="64"/>
        </left>
        <right style="medium">
          <color indexed="64"/>
        </right>
        <top style="medium">
          <color indexed="64"/>
        </top>
        <bottom style="medium">
          <color indexed="64"/>
        </bottom>
      </border>
    </dxf>
    <dxf>
      <font>
        <strike val="0"/>
        <outline val="0"/>
        <shadow val="0"/>
        <vertAlign val="baseline"/>
        <name val="Arial"/>
        <family val="2"/>
        <scheme val="none"/>
      </font>
      <alignment horizontal="left" vertical="top" textRotation="0" indent="0" justifyLastLine="0" shrinkToFit="0" readingOrder="0"/>
    </dxf>
    <dxf>
      <font>
        <strike val="0"/>
        <outline val="0"/>
        <shadow val="0"/>
        <vertAlign val="baseline"/>
        <name val="Arial"/>
        <family val="2"/>
        <scheme val="none"/>
      </font>
      <alignment horizontal="left" vertical="top" textRotation="0" indent="0" justifyLastLine="0" shrinkToFit="0" readingOrder="0"/>
    </dxf>
    <dxf>
      <font>
        <b val="0"/>
        <i val="0"/>
        <strike val="0"/>
        <condense val="0"/>
        <extend val="0"/>
        <outline val="0"/>
        <shadow val="0"/>
        <u val="none"/>
        <vertAlign val="baseline"/>
        <sz val="11"/>
        <color theme="1"/>
        <name val="Arial"/>
        <family val="2"/>
        <scheme val="none"/>
      </font>
      <alignment horizontal="left" vertical="top" textRotation="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Arial"/>
        <family val="2"/>
        <scheme val="none"/>
      </font>
      <alignment horizontal="left" vertical="top" textRotation="0"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medium">
          <color indexed="64"/>
        </left>
        <right style="medium">
          <color indexed="64"/>
        </right>
        <top style="medium">
          <color indexed="64"/>
        </top>
        <bottom style="medium">
          <color indexed="64"/>
        </bottom>
      </border>
    </dxf>
    <dxf>
      <font>
        <strike val="0"/>
        <outline val="0"/>
        <shadow val="0"/>
        <vertAlign val="baseline"/>
        <name val="Arial"/>
        <family val="2"/>
        <scheme val="none"/>
      </font>
      <alignment horizontal="left" vertical="top" textRotation="0" indent="0" justifyLastLine="0" shrinkToFit="0" readingOrder="0"/>
    </dxf>
    <dxf>
      <border outline="0">
        <bottom style="thin">
          <color indexed="64"/>
        </bottom>
      </border>
    </dxf>
    <dxf>
      <font>
        <b/>
        <i val="0"/>
        <strike val="0"/>
        <condense val="0"/>
        <extend val="0"/>
        <outline val="0"/>
        <shadow val="0"/>
        <u val="none"/>
        <vertAlign val="baseline"/>
        <sz val="11"/>
        <color theme="1"/>
        <name val="Arial"/>
        <family val="2"/>
        <scheme val="none"/>
      </font>
      <alignment horizontal="left" vertical="top" textRotation="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Arial"/>
        <family val="2"/>
        <scheme val="none"/>
      </font>
      <alignment horizontal="left" vertical="top" textRotation="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Arial"/>
        <family val="2"/>
        <scheme val="none"/>
      </font>
      <alignment horizontal="left" vertical="top" textRotation="0"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medium">
          <color indexed="64"/>
        </left>
        <right style="medium">
          <color indexed="64"/>
        </right>
        <top style="medium">
          <color indexed="64"/>
        </top>
        <bottom style="medium">
          <color indexed="64"/>
        </bottom>
      </border>
    </dxf>
    <dxf>
      <font>
        <strike val="0"/>
        <outline val="0"/>
        <shadow val="0"/>
        <vertAlign val="baseline"/>
        <name val="Arial"/>
        <family val="2"/>
        <scheme val="none"/>
      </font>
      <alignment horizontal="left" vertical="top" textRotation="0" indent="0" justifyLastLine="0" shrinkToFit="0" readingOrder="0"/>
    </dxf>
    <dxf>
      <border outline="0">
        <bottom style="thin">
          <color indexed="64"/>
        </bottom>
      </border>
    </dxf>
    <dxf>
      <font>
        <b/>
        <i val="0"/>
        <strike val="0"/>
        <condense val="0"/>
        <extend val="0"/>
        <outline val="0"/>
        <shadow val="0"/>
        <u val="none"/>
        <vertAlign val="baseline"/>
        <sz val="11"/>
        <color theme="1"/>
        <name val="Arial"/>
        <family val="2"/>
        <scheme val="none"/>
      </font>
      <alignment horizontal="left" vertical="top" textRotation="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alignment horizontal="left" vertical="top" textRotation="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family val="2"/>
        <scheme val="none"/>
      </font>
      <alignment horizontal="left" vertical="top" textRotation="0"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medium">
          <color indexed="64"/>
        </left>
        <right style="medium">
          <color indexed="64"/>
        </right>
        <top style="medium">
          <color indexed="64"/>
        </top>
        <bottom style="medium">
          <color indexed="64"/>
        </bottom>
      </border>
    </dxf>
    <dxf>
      <font>
        <strike val="0"/>
        <outline val="0"/>
        <shadow val="0"/>
        <vertAlign val="baseline"/>
        <name val="Arial"/>
        <family val="2"/>
        <scheme val="none"/>
      </font>
      <alignment horizontal="left" vertical="top" textRotation="0" indent="0" justifyLastLine="0" shrinkToFit="0" readingOrder="0"/>
    </dxf>
    <dxf>
      <border outline="0">
        <bottom style="thin">
          <color indexed="64"/>
        </bottom>
      </border>
    </dxf>
    <dxf>
      <font>
        <b/>
        <i val="0"/>
        <strike val="0"/>
        <condense val="0"/>
        <extend val="0"/>
        <outline val="0"/>
        <shadow val="0"/>
        <u val="none"/>
        <vertAlign val="baseline"/>
        <sz val="11"/>
        <color theme="1"/>
        <name val="Arial"/>
        <family val="2"/>
        <scheme val="none"/>
      </font>
      <alignment horizontal="left" vertical="top" textRotation="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Arial"/>
        <family val="2"/>
        <scheme val="none"/>
      </font>
      <alignment horizontal="left" vertical="top" textRotation="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Arial"/>
        <family val="2"/>
        <scheme val="none"/>
      </font>
      <alignment horizontal="left" vertical="top" textRotation="0"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medium">
          <color indexed="64"/>
        </left>
        <right style="medium">
          <color indexed="64"/>
        </right>
        <top style="medium">
          <color indexed="64"/>
        </top>
        <bottom style="medium">
          <color indexed="64"/>
        </bottom>
      </border>
    </dxf>
    <dxf>
      <font>
        <strike val="0"/>
        <outline val="0"/>
        <shadow val="0"/>
        <vertAlign val="baseline"/>
        <name val="Arial"/>
        <family val="2"/>
        <scheme val="none"/>
      </font>
      <alignment horizontal="left" vertical="top" textRotation="0" indent="0" justifyLastLine="0" shrinkToFit="0" readingOrder="0"/>
    </dxf>
    <dxf>
      <border outline="0">
        <bottom style="thin">
          <color indexed="64"/>
        </bottom>
      </border>
    </dxf>
    <dxf>
      <font>
        <b/>
        <i val="0"/>
        <strike val="0"/>
        <condense val="0"/>
        <extend val="0"/>
        <outline val="0"/>
        <shadow val="0"/>
        <u val="none"/>
        <vertAlign val="baseline"/>
        <sz val="11"/>
        <color theme="1"/>
        <name val="Arial"/>
        <family val="2"/>
        <scheme val="none"/>
      </font>
      <alignment horizontal="left" vertical="top" textRotation="0" indent="0" justifyLastLine="0" shrinkToFit="0" readingOrder="0"/>
      <border diagonalUp="0" diagonalDown="0" outline="0">
        <left style="thin">
          <color indexed="64"/>
        </left>
        <right style="thin">
          <color indexed="64"/>
        </right>
        <top/>
        <bottom/>
      </border>
    </dxf>
    <dxf>
      <font>
        <strike val="0"/>
        <outline val="0"/>
        <shadow val="0"/>
        <name val="Arial"/>
        <family val="2"/>
        <scheme val="none"/>
      </font>
      <fill>
        <patternFill patternType="solid">
          <fgColor indexed="64"/>
          <bgColor rgb="FFFFFFCC"/>
        </patternFill>
      </fill>
      <alignment horizontal="left" vertical="top"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strike val="0"/>
        <outline val="0"/>
        <shadow val="0"/>
        <name val="Arial"/>
        <family val="2"/>
        <scheme val="none"/>
      </font>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medium">
          <color indexed="64"/>
        </left>
        <right style="medium">
          <color indexed="64"/>
        </right>
        <top style="medium">
          <color indexed="64"/>
        </top>
        <bottom style="medium">
          <color indexed="64"/>
        </bottom>
      </border>
    </dxf>
    <dxf>
      <font>
        <strike val="0"/>
        <outline val="0"/>
        <shadow val="0"/>
        <name val="Arial"/>
        <family val="2"/>
        <scheme val="none"/>
      </font>
    </dxf>
    <dxf>
      <border outline="0">
        <bottom style="thin">
          <color indexed="64"/>
        </bottom>
      </border>
    </dxf>
    <dxf>
      <font>
        <strike val="0"/>
        <outline val="0"/>
        <shadow val="0"/>
        <name val="Arial"/>
        <family val="2"/>
        <scheme val="none"/>
      </font>
      <border diagonalUp="0" diagonalDown="0" outline="0">
        <left style="thin">
          <color indexed="64"/>
        </left>
        <right style="thin">
          <color indexed="64"/>
        </right>
        <top/>
        <bottom/>
      </border>
    </dxf>
    <dxf>
      <font>
        <strike val="0"/>
        <outline val="0"/>
        <shadow val="0"/>
        <name val="Arial"/>
        <family val="2"/>
        <scheme val="none"/>
      </font>
      <fill>
        <patternFill patternType="solid">
          <fgColor indexed="64"/>
          <bgColor rgb="FFFFFFCC"/>
        </patternFill>
      </fill>
      <border diagonalUp="0" diagonalDown="0" outline="0">
        <left style="thin">
          <color indexed="64"/>
        </left>
        <right/>
        <top style="thin">
          <color indexed="64"/>
        </top>
        <bottom style="thin">
          <color indexed="64"/>
        </bottom>
      </border>
      <protection locked="0" hidden="0"/>
    </dxf>
    <dxf>
      <font>
        <strike val="0"/>
        <outline val="0"/>
        <shadow val="0"/>
        <name val="Arial"/>
        <family val="2"/>
        <scheme val="none"/>
      </font>
      <border diagonalUp="0" diagonalDown="0" outline="0">
        <left/>
        <right style="thin">
          <color indexed="64"/>
        </right>
        <top style="thin">
          <color indexed="64"/>
        </top>
        <bottom style="thin">
          <color indexed="64"/>
        </bottom>
      </border>
    </dxf>
    <dxf>
      <border outline="0">
        <top style="thin">
          <color indexed="64"/>
        </top>
      </border>
    </dxf>
    <dxf>
      <border outline="0">
        <left style="medium">
          <color indexed="64"/>
        </left>
        <right style="medium">
          <color indexed="64"/>
        </right>
        <top style="medium">
          <color indexed="64"/>
        </top>
        <bottom style="medium">
          <color indexed="64"/>
        </bottom>
      </border>
    </dxf>
    <dxf>
      <font>
        <strike val="0"/>
        <outline val="0"/>
        <shadow val="0"/>
        <name val="Arial"/>
        <family val="2"/>
        <scheme val="none"/>
      </font>
    </dxf>
    <dxf>
      <border outline="0">
        <bottom style="thin">
          <color indexed="64"/>
        </bottom>
      </border>
    </dxf>
    <dxf>
      <font>
        <strike val="0"/>
        <outline val="0"/>
        <shadow val="0"/>
        <name val="Arial"/>
        <family val="2"/>
        <scheme val="none"/>
      </font>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ertAlign val="baseline"/>
        <sz val="11"/>
        <color rgb="FF0000FF"/>
        <name val="Arial"/>
        <family val="2"/>
        <scheme val="none"/>
      </font>
      <border diagonalUp="0" diagonalDown="0">
        <left/>
        <right style="thin">
          <color indexed="64"/>
        </right>
        <top style="thin">
          <color indexed="64"/>
        </top>
        <bottom style="thin">
          <color indexed="64"/>
        </bottom>
      </border>
    </dxf>
    <dxf>
      <border outline="0">
        <top style="thin">
          <color indexed="64"/>
        </top>
      </border>
    </dxf>
    <dxf>
      <border outline="0">
        <left style="medium">
          <color indexed="64"/>
        </left>
        <right style="medium">
          <color indexed="64"/>
        </right>
        <top style="medium">
          <color indexed="64"/>
        </top>
        <bottom style="thin">
          <color indexed="64"/>
        </bottom>
      </border>
    </dxf>
    <dxf>
      <font>
        <strike val="0"/>
        <outline val="0"/>
        <shadow val="0"/>
        <vertAlign val="baseline"/>
        <name val="Arial"/>
        <family val="2"/>
        <scheme val="none"/>
      </font>
    </dxf>
    <dxf>
      <border outline="0">
        <bottom style="thin">
          <color indexed="64"/>
        </bottom>
      </border>
    </dxf>
    <dxf>
      <font>
        <b/>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Arial"/>
        <family val="2"/>
        <scheme val="none"/>
      </font>
      <border diagonalUp="0" diagonalDown="0">
        <left style="thin">
          <color indexed="64"/>
        </left>
        <right/>
        <top style="thin">
          <color indexed="64"/>
        </top>
        <bottom style="thin">
          <color indexed="64"/>
        </bottom>
      </border>
    </dxf>
    <dxf>
      <font>
        <b val="0"/>
        <i val="0"/>
        <strike val="0"/>
        <condense val="0"/>
        <extend val="0"/>
        <outline val="0"/>
        <shadow val="0"/>
        <u/>
        <vertAlign val="baseline"/>
        <sz val="11"/>
        <color rgb="FF0000FF"/>
        <name val="Arial"/>
        <family val="2"/>
        <scheme val="none"/>
      </font>
      <border diagonalUp="0" diagonalDown="0">
        <left/>
        <right style="thin">
          <color indexed="64"/>
        </right>
        <top style="thin">
          <color indexed="64"/>
        </top>
        <bottom style="thin">
          <color indexed="64"/>
        </bottom>
      </border>
    </dxf>
    <dxf>
      <border outline="0">
        <top style="thin">
          <color indexed="64"/>
        </top>
      </border>
    </dxf>
    <dxf>
      <border outline="0">
        <left style="medium">
          <color indexed="64"/>
        </left>
        <right style="medium">
          <color indexed="64"/>
        </right>
        <top style="medium">
          <color indexed="64"/>
        </top>
        <bottom style="medium">
          <color indexed="64"/>
        </bottom>
      </border>
    </dxf>
    <dxf>
      <font>
        <strike val="0"/>
        <outline val="0"/>
        <shadow val="0"/>
        <vertAlign val="baseline"/>
        <name val="Arial"/>
        <family val="2"/>
        <scheme val="none"/>
      </font>
    </dxf>
    <dxf>
      <border outline="0">
        <bottom style="thin">
          <color indexed="64"/>
        </bottom>
      </border>
    </dxf>
    <dxf>
      <font>
        <b/>
        <i val="0"/>
        <strike val="0"/>
        <condense val="0"/>
        <extend val="0"/>
        <outline val="0"/>
        <shadow val="0"/>
        <u val="none"/>
        <vertAlign val="baseline"/>
        <sz val="11"/>
        <color theme="1"/>
        <name val="Arial"/>
        <family val="2"/>
        <scheme val="none"/>
      </font>
      <border diagonalUp="0" diagonalDown="0" outline="0">
        <left style="thin">
          <color indexed="64"/>
        </left>
        <right style="thin">
          <color indexed="64"/>
        </right>
        <top/>
        <bottom/>
      </border>
    </dxf>
  </dxfs>
  <tableStyles count="0" defaultPivotStyle="PivotStyleLight16"/>
  <colors>
    <mruColors>
      <color rgb="FFFFD966"/>
      <color rgb="FFEBB8B7"/>
      <color rgb="FFFFCC00"/>
      <color rgb="FFFFCC66"/>
      <color rgb="FFFFCCFF"/>
      <color rgb="FFC0504D"/>
      <color rgb="FF808080"/>
      <color rgb="FFFF99CC"/>
      <color rgb="FFFF3300"/>
      <color rgb="FF9F3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customXml" Target="../ink/ink1.xml"/><Relationship Id="rId2" Type="http://schemas.openxmlformats.org/officeDocument/2006/relationships/image" Target="../media/image2.png"/><Relationship Id="rId1" Type="http://schemas.openxmlformats.org/officeDocument/2006/relationships/image" Target="../media/image1.png"/><Relationship Id="rId11" Type="http://schemas.openxmlformats.org/officeDocument/2006/relationships/image" Target="../media/image3.png"/><Relationship Id="rId5" Type="http://schemas.openxmlformats.org/officeDocument/2006/relationships/customXml" Target="../ink/ink2.xml"/><Relationship Id="rId10" Type="http://schemas.openxmlformats.org/officeDocument/2006/relationships/image" Target="../media/image70.png"/><Relationship Id="rId4" Type="http://schemas.openxmlformats.org/officeDocument/2006/relationships/image" Target="../media/image40.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95250</xdr:rowOff>
    </xdr:from>
    <xdr:to>
      <xdr:col>4</xdr:col>
      <xdr:colOff>247650</xdr:colOff>
      <xdr:row>6</xdr:row>
      <xdr:rowOff>59183</xdr:rowOff>
    </xdr:to>
    <xdr:pic>
      <xdr:nvPicPr>
        <xdr:cNvPr id="2" name="Picture 1" descr="In the image a screengrab of the vertical dropdown menu when cell A11 is selected appears. At the very bottom of the vertical dropdown menu a list appears of selection boxes on left and to the right the listed rule. Option boxes of Select All, §106.141, §106.143, §106.144, §106.145, §106.146, §106.148, §106.149, §106.150, are highlighted in bright yellow to denote where selection should occur.">
          <a:extLst>
            <a:ext uri="{FF2B5EF4-FFF2-40B4-BE49-F238E27FC236}">
              <a16:creationId xmlns:a16="http://schemas.microsoft.com/office/drawing/2014/main" id="{1D128AC8-56A5-6377-36A3-043C73AF0842}"/>
            </a:ext>
          </a:extLst>
        </xdr:cNvPr>
        <xdr:cNvPicPr>
          <a:picLocks noChangeAspect="1"/>
        </xdr:cNvPicPr>
      </xdr:nvPicPr>
      <xdr:blipFill rotWithShape="1">
        <a:blip xmlns:r="http://schemas.openxmlformats.org/officeDocument/2006/relationships" r:embed="rId1"/>
        <a:srcRect l="49889" t="1595" r="40239" b="72194"/>
        <a:stretch/>
      </xdr:blipFill>
      <xdr:spPr bwMode="auto">
        <a:xfrm>
          <a:off x="6772275" y="95250"/>
          <a:ext cx="2066925" cy="3373883"/>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38101</xdr:colOff>
      <xdr:row>6</xdr:row>
      <xdr:rowOff>190499</xdr:rowOff>
    </xdr:from>
    <xdr:to>
      <xdr:col>4</xdr:col>
      <xdr:colOff>695325</xdr:colOff>
      <xdr:row>10</xdr:row>
      <xdr:rowOff>42440</xdr:rowOff>
    </xdr:to>
    <xdr:pic>
      <xdr:nvPicPr>
        <xdr:cNvPr id="3" name="Picture 2" descr="In the screen grab picture of a graph spreadsheet, the columns M and N selected. Two small drop down boxes appears in the center of the screen. In the lower box there is a list of actions, the final action at the bottom of the drop down box, the Unhide option, is highlighted in yellow.">
          <a:extLst>
            <a:ext uri="{FF2B5EF4-FFF2-40B4-BE49-F238E27FC236}">
              <a16:creationId xmlns:a16="http://schemas.microsoft.com/office/drawing/2014/main" id="{7C3B9C4C-5773-7DFB-C1A8-338703DD2DC4}"/>
            </a:ext>
          </a:extLst>
        </xdr:cNvPr>
        <xdr:cNvPicPr>
          <a:picLocks noChangeAspect="1"/>
        </xdr:cNvPicPr>
      </xdr:nvPicPr>
      <xdr:blipFill rotWithShape="1">
        <a:blip xmlns:r="http://schemas.openxmlformats.org/officeDocument/2006/relationships" r:embed="rId2"/>
        <a:srcRect l="77640" t="2460" r="925" b="48340"/>
        <a:stretch/>
      </xdr:blipFill>
      <xdr:spPr bwMode="auto">
        <a:xfrm>
          <a:off x="6800851" y="3600449"/>
          <a:ext cx="2486024" cy="377624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334125</xdr:colOff>
      <xdr:row>9</xdr:row>
      <xdr:rowOff>141570</xdr:rowOff>
    </xdr:from>
    <xdr:to>
      <xdr:col>3</xdr:col>
      <xdr:colOff>162286</xdr:colOff>
      <xdr:row>9</xdr:row>
      <xdr:rowOff>152730</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5" name="Ink 4" descr="This is a highlight on the &quot;Unhide&quot; option in the drop down.">
              <a:extLst>
                <a:ext uri="{FF2B5EF4-FFF2-40B4-BE49-F238E27FC236}">
                  <a16:creationId xmlns:a16="http://schemas.microsoft.com/office/drawing/2014/main" id="{099429AF-BB2A-D806-BF98-7D4CD43C4A29}"/>
                </a:ext>
              </a:extLst>
            </xdr14:cNvPr>
            <xdr14:cNvContentPartPr/>
          </xdr14:nvContentPartPr>
          <xdr14:nvPr macro=""/>
          <xdr14:xfrm>
            <a:off x="7706475" y="6208995"/>
            <a:ext cx="437761" cy="11160"/>
          </xdr14:xfrm>
        </xdr:contentPart>
      </mc:Choice>
      <mc:Fallback xmlns="">
        <xdr:pic>
          <xdr:nvPicPr>
            <xdr:cNvPr id="5" name="Ink 4">
              <a:extLst>
                <a:ext uri="{FF2B5EF4-FFF2-40B4-BE49-F238E27FC236}">
                  <a16:creationId xmlns:a16="http://schemas.microsoft.com/office/drawing/2014/main" id="{099429AF-BB2A-D806-BF98-7D4CD43C4A29}"/>
                </a:ext>
              </a:extLst>
            </xdr:cNvPr>
            <xdr:cNvPicPr/>
          </xdr:nvPicPr>
          <xdr:blipFill>
            <a:blip xmlns:r="http://schemas.openxmlformats.org/officeDocument/2006/relationships" r:embed="rId4"/>
            <a:stretch>
              <a:fillRect/>
            </a:stretch>
          </xdr:blipFill>
          <xdr:spPr>
            <a:xfrm>
              <a:off x="8899560" y="5784930"/>
              <a:ext cx="509400" cy="154800"/>
            </a:xfrm>
            <a:prstGeom prst="rect">
              <a:avLst/>
            </a:prstGeom>
          </xdr:spPr>
        </xdr:pic>
      </mc:Fallback>
    </mc:AlternateContent>
    <xdr:clientData/>
  </xdr:twoCellAnchor>
  <xdr:twoCellAnchor editAs="oneCell">
    <xdr:from>
      <xdr:col>1</xdr:col>
      <xdr:colOff>352020</xdr:colOff>
      <xdr:row>4</xdr:row>
      <xdr:rowOff>302520</xdr:rowOff>
    </xdr:from>
    <xdr:to>
      <xdr:col>1</xdr:col>
      <xdr:colOff>459660</xdr:colOff>
      <xdr:row>4</xdr:row>
      <xdr:rowOff>1180920</xdr:rowOff>
    </xdr:to>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8" name="Ink 7" descr="This is a highlight for selecting which rules would be applicable for the application.">
              <a:extLst>
                <a:ext uri="{FF2B5EF4-FFF2-40B4-BE49-F238E27FC236}">
                  <a16:creationId xmlns:a16="http://schemas.microsoft.com/office/drawing/2014/main" id="{9500302A-8ABF-1EB0-1B86-7751C8BF1848}"/>
                </a:ext>
              </a:extLst>
            </xdr14:cNvPr>
            <xdr14:cNvContentPartPr/>
          </xdr14:nvContentPartPr>
          <xdr14:nvPr macro=""/>
          <xdr14:xfrm>
            <a:off x="7114770" y="1959870"/>
            <a:ext cx="107640" cy="878400"/>
          </xdr14:xfrm>
        </xdr:contentPart>
      </mc:Choice>
      <mc:Fallback xmlns="">
        <xdr:pic>
          <xdr:nvPicPr>
            <xdr:cNvPr id="8" name="Ink 7">
              <a:extLst>
                <a:ext uri="{FF2B5EF4-FFF2-40B4-BE49-F238E27FC236}">
                  <a16:creationId xmlns:a16="http://schemas.microsoft.com/office/drawing/2014/main" id="{9500302A-8ABF-1EB0-1B86-7751C8BF1848}"/>
                </a:ext>
              </a:extLst>
            </xdr:cNvPr>
            <xdr:cNvPicPr/>
          </xdr:nvPicPr>
          <xdr:blipFill>
            <a:blip xmlns:r="http://schemas.openxmlformats.org/officeDocument/2006/relationships" r:embed="rId10"/>
            <a:stretch>
              <a:fillRect/>
            </a:stretch>
          </xdr:blipFill>
          <xdr:spPr>
            <a:xfrm>
              <a:off x="8736120" y="1421505"/>
              <a:ext cx="179280" cy="1022040"/>
            </a:xfrm>
            <a:prstGeom prst="rect">
              <a:avLst/>
            </a:prstGeom>
          </xdr:spPr>
        </xdr:pic>
      </mc:Fallback>
    </mc:AlternateContent>
    <xdr:clientData/>
  </xdr:twoCellAnchor>
  <xdr:twoCellAnchor editAs="oneCell">
    <xdr:from>
      <xdr:col>1</xdr:col>
      <xdr:colOff>47628</xdr:colOff>
      <xdr:row>10</xdr:row>
      <xdr:rowOff>171451</xdr:rowOff>
    </xdr:from>
    <xdr:to>
      <xdr:col>4</xdr:col>
      <xdr:colOff>1181100</xdr:colOff>
      <xdr:row>26</xdr:row>
      <xdr:rowOff>76822</xdr:rowOff>
    </xdr:to>
    <xdr:pic>
      <xdr:nvPicPr>
        <xdr:cNvPr id="9" name="Picture 8" descr="In the screen grab picture of a graph spreadsheet, the first data entry column is populated with the Example 1 data from the TCEQ - Sample Emission Calcualtion for Dry Bulk fertilizer Handling. The Units* is tons. Hourly flow rate is 75 units*(tons)/hr. Annual flow rate is 12,000 units*(tons)/yr. Annual usage is 8760 hrs/yr. The 'Is supporting documentation attached' is Yes. PM emission factor is = 0.02 *(1-.09) which is the emission rate against the control efficiency resulting in a value of 0.02.  Output PM lb/hr is shown as 0.150. Output PM annual emission is shown as 0.012. Both results match the example 1.">
          <a:extLst>
            <a:ext uri="{FF2B5EF4-FFF2-40B4-BE49-F238E27FC236}">
              <a16:creationId xmlns:a16="http://schemas.microsoft.com/office/drawing/2014/main" id="{654F0017-1446-DDBD-13D3-6C63389D215B}"/>
            </a:ext>
          </a:extLst>
        </xdr:cNvPr>
        <xdr:cNvPicPr>
          <a:picLocks noChangeAspect="1"/>
        </xdr:cNvPicPr>
      </xdr:nvPicPr>
      <xdr:blipFill>
        <a:blip xmlns:r="http://schemas.openxmlformats.org/officeDocument/2006/relationships" r:embed="rId11"/>
        <a:stretch>
          <a:fillRect/>
        </a:stretch>
      </xdr:blipFill>
      <xdr:spPr>
        <a:xfrm>
          <a:off x="6810378" y="7743826"/>
          <a:ext cx="2962272" cy="39820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249</xdr:row>
      <xdr:rowOff>0</xdr:rowOff>
    </xdr:from>
    <xdr:to>
      <xdr:col>3</xdr:col>
      <xdr:colOff>696241</xdr:colOff>
      <xdr:row>276</xdr:row>
      <xdr:rowOff>76929</xdr:rowOff>
    </xdr:to>
    <xdr:pic>
      <xdr:nvPicPr>
        <xdr:cNvPr id="3" name="Picture 2">
          <a:extLst>
            <a:ext uri="{FF2B5EF4-FFF2-40B4-BE49-F238E27FC236}">
              <a16:creationId xmlns:a16="http://schemas.microsoft.com/office/drawing/2014/main" id="{51BD07F7-7414-40A1-B468-2AC26393E783}"/>
            </a:ext>
          </a:extLst>
        </xdr:cNvPr>
        <xdr:cNvPicPr>
          <a:picLocks noChangeAspect="1"/>
        </xdr:cNvPicPr>
      </xdr:nvPicPr>
      <xdr:blipFill>
        <a:blip xmlns:r="http://schemas.openxmlformats.org/officeDocument/2006/relationships" r:embed="rId1"/>
        <a:stretch>
          <a:fillRect/>
        </a:stretch>
      </xdr:blipFill>
      <xdr:spPr>
        <a:xfrm>
          <a:off x="0" y="53035200"/>
          <a:ext cx="6563641" cy="5220429"/>
        </a:xfrm>
        <a:prstGeom prst="rect">
          <a:avLst/>
        </a:prstGeom>
      </xdr:spPr>
    </xdr:pic>
    <xdr:clientData/>
  </xdr:twoCellAnchor>
  <xdr:twoCellAnchor editAs="oneCell">
    <xdr:from>
      <xdr:col>0</xdr:col>
      <xdr:colOff>47625</xdr:colOff>
      <xdr:row>283</xdr:row>
      <xdr:rowOff>19050</xdr:rowOff>
    </xdr:from>
    <xdr:to>
      <xdr:col>2</xdr:col>
      <xdr:colOff>1153258</xdr:colOff>
      <xdr:row>288</xdr:row>
      <xdr:rowOff>38236</xdr:rowOff>
    </xdr:to>
    <xdr:pic>
      <xdr:nvPicPr>
        <xdr:cNvPr id="5" name="Picture 4">
          <a:extLst>
            <a:ext uri="{FF2B5EF4-FFF2-40B4-BE49-F238E27FC236}">
              <a16:creationId xmlns:a16="http://schemas.microsoft.com/office/drawing/2014/main" id="{F9F42199-67B8-422D-BAC9-EF9201D85107}"/>
            </a:ext>
          </a:extLst>
        </xdr:cNvPr>
        <xdr:cNvPicPr>
          <a:picLocks noChangeAspect="1"/>
        </xdr:cNvPicPr>
      </xdr:nvPicPr>
      <xdr:blipFill>
        <a:blip xmlns:r="http://schemas.openxmlformats.org/officeDocument/2006/relationships" r:embed="rId2"/>
        <a:stretch>
          <a:fillRect/>
        </a:stretch>
      </xdr:blipFill>
      <xdr:spPr>
        <a:xfrm>
          <a:off x="47625" y="62998350"/>
          <a:ext cx="5249008" cy="971686"/>
        </a:xfrm>
        <a:prstGeom prst="rect">
          <a:avLst/>
        </a:prstGeom>
      </xdr:spPr>
    </xdr:pic>
    <xdr:clientData/>
  </xdr:twoCellAnchor>
  <xdr:twoCellAnchor editAs="oneCell">
    <xdr:from>
      <xdr:col>0</xdr:col>
      <xdr:colOff>0</xdr:colOff>
      <xdr:row>290</xdr:row>
      <xdr:rowOff>0</xdr:rowOff>
    </xdr:from>
    <xdr:to>
      <xdr:col>2</xdr:col>
      <xdr:colOff>886527</xdr:colOff>
      <xdr:row>316</xdr:row>
      <xdr:rowOff>105481</xdr:rowOff>
    </xdr:to>
    <xdr:pic>
      <xdr:nvPicPr>
        <xdr:cNvPr id="8" name="Picture 7">
          <a:extLst>
            <a:ext uri="{FF2B5EF4-FFF2-40B4-BE49-F238E27FC236}">
              <a16:creationId xmlns:a16="http://schemas.microsoft.com/office/drawing/2014/main" id="{FF79030D-8F77-4178-B92B-6E49CAFC2E4C}"/>
            </a:ext>
          </a:extLst>
        </xdr:cNvPr>
        <xdr:cNvPicPr>
          <a:picLocks noChangeAspect="1"/>
        </xdr:cNvPicPr>
      </xdr:nvPicPr>
      <xdr:blipFill>
        <a:blip xmlns:r="http://schemas.openxmlformats.org/officeDocument/2006/relationships" r:embed="rId3"/>
        <a:stretch>
          <a:fillRect/>
        </a:stretch>
      </xdr:blipFill>
      <xdr:spPr>
        <a:xfrm>
          <a:off x="0" y="64312800"/>
          <a:ext cx="5029902" cy="5058481"/>
        </a:xfrm>
        <a:prstGeom prst="rect">
          <a:avLst/>
        </a:prstGeom>
      </xdr:spPr>
    </xdr:pic>
    <xdr:clientData/>
  </xdr:twoCellAnchor>
  <xdr:twoCellAnchor editAs="oneCell">
    <xdr:from>
      <xdr:col>0</xdr:col>
      <xdr:colOff>0</xdr:colOff>
      <xdr:row>346</xdr:row>
      <xdr:rowOff>0</xdr:rowOff>
    </xdr:from>
    <xdr:to>
      <xdr:col>6</xdr:col>
      <xdr:colOff>1163571</xdr:colOff>
      <xdr:row>387</xdr:row>
      <xdr:rowOff>20143</xdr:rowOff>
    </xdr:to>
    <xdr:pic>
      <xdr:nvPicPr>
        <xdr:cNvPr id="6" name="Picture 5">
          <a:extLst>
            <a:ext uri="{FF2B5EF4-FFF2-40B4-BE49-F238E27FC236}">
              <a16:creationId xmlns:a16="http://schemas.microsoft.com/office/drawing/2014/main" id="{7CF45A6F-F74C-411F-9B75-40C375C5F883}"/>
            </a:ext>
          </a:extLst>
        </xdr:cNvPr>
        <xdr:cNvPicPr>
          <a:picLocks noChangeAspect="1"/>
        </xdr:cNvPicPr>
      </xdr:nvPicPr>
      <xdr:blipFill>
        <a:blip xmlns:r="http://schemas.openxmlformats.org/officeDocument/2006/relationships" r:embed="rId4"/>
        <a:stretch>
          <a:fillRect/>
        </a:stretch>
      </xdr:blipFill>
      <xdr:spPr>
        <a:xfrm>
          <a:off x="0" y="84410550"/>
          <a:ext cx="10898121" cy="7830643"/>
        </a:xfrm>
        <a:prstGeom prst="rect">
          <a:avLst/>
        </a:prstGeom>
      </xdr:spPr>
    </xdr:pic>
    <xdr:clientData/>
  </xdr:twoCellAnchor>
  <xdr:twoCellAnchor>
    <xdr:from>
      <xdr:col>0</xdr:col>
      <xdr:colOff>0</xdr:colOff>
      <xdr:row>489</xdr:row>
      <xdr:rowOff>0</xdr:rowOff>
    </xdr:from>
    <xdr:to>
      <xdr:col>12</xdr:col>
      <xdr:colOff>47625</xdr:colOff>
      <xdr:row>522</xdr:row>
      <xdr:rowOff>180975</xdr:rowOff>
    </xdr:to>
    <xdr:pic>
      <xdr:nvPicPr>
        <xdr:cNvPr id="2" name="Picture 1">
          <a:extLst>
            <a:ext uri="{FF2B5EF4-FFF2-40B4-BE49-F238E27FC236}">
              <a16:creationId xmlns:a16="http://schemas.microsoft.com/office/drawing/2014/main" id="{811DDFD7-83B1-5AB5-2560-3C4877AE290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13223675"/>
          <a:ext cx="15001875" cy="6467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524</xdr:row>
      <xdr:rowOff>0</xdr:rowOff>
    </xdr:from>
    <xdr:to>
      <xdr:col>3</xdr:col>
      <xdr:colOff>908543</xdr:colOff>
      <xdr:row>530</xdr:row>
      <xdr:rowOff>133528</xdr:rowOff>
    </xdr:to>
    <xdr:pic>
      <xdr:nvPicPr>
        <xdr:cNvPr id="4" name="Picture 3">
          <a:extLst>
            <a:ext uri="{FF2B5EF4-FFF2-40B4-BE49-F238E27FC236}">
              <a16:creationId xmlns:a16="http://schemas.microsoft.com/office/drawing/2014/main" id="{60CCD698-BA02-4EF8-A451-E5643351A926}"/>
            </a:ext>
          </a:extLst>
        </xdr:cNvPr>
        <xdr:cNvPicPr>
          <a:picLocks noChangeAspect="1"/>
        </xdr:cNvPicPr>
      </xdr:nvPicPr>
      <xdr:blipFill>
        <a:blip xmlns:r="http://schemas.openxmlformats.org/officeDocument/2006/relationships" r:embed="rId6"/>
        <a:stretch>
          <a:fillRect/>
        </a:stretch>
      </xdr:blipFill>
      <xdr:spPr>
        <a:xfrm>
          <a:off x="0" y="118224300"/>
          <a:ext cx="6775943" cy="12765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277029</xdr:colOff>
      <xdr:row>26</xdr:row>
      <xdr:rowOff>95955</xdr:rowOff>
    </xdr:to>
    <xdr:pic>
      <xdr:nvPicPr>
        <xdr:cNvPr id="2" name="Picture 1">
          <a:extLst>
            <a:ext uri="{FF2B5EF4-FFF2-40B4-BE49-F238E27FC236}">
              <a16:creationId xmlns:a16="http://schemas.microsoft.com/office/drawing/2014/main" id="{B760E345-C705-4D9F-AE48-6355F6741B19}"/>
            </a:ext>
          </a:extLst>
        </xdr:cNvPr>
        <xdr:cNvPicPr>
          <a:picLocks noChangeAspect="1"/>
        </xdr:cNvPicPr>
      </xdr:nvPicPr>
      <xdr:blipFill>
        <a:blip xmlns:r="http://schemas.openxmlformats.org/officeDocument/2006/relationships" r:embed="rId1"/>
        <a:stretch>
          <a:fillRect/>
        </a:stretch>
      </xdr:blipFill>
      <xdr:spPr>
        <a:xfrm>
          <a:off x="0" y="0"/>
          <a:ext cx="5763429" cy="5048955"/>
        </a:xfrm>
        <a:prstGeom prst="rect">
          <a:avLst/>
        </a:prstGeom>
      </xdr:spPr>
    </xdr:pic>
    <xdr:clientData/>
  </xdr:twoCellAnchor>
  <xdr:twoCellAnchor editAs="oneCell">
    <xdr:from>
      <xdr:col>10</xdr:col>
      <xdr:colOff>0</xdr:colOff>
      <xdr:row>0</xdr:row>
      <xdr:rowOff>0</xdr:rowOff>
    </xdr:from>
    <xdr:to>
      <xdr:col>21</xdr:col>
      <xdr:colOff>467726</xdr:colOff>
      <xdr:row>12</xdr:row>
      <xdr:rowOff>57477</xdr:rowOff>
    </xdr:to>
    <xdr:pic>
      <xdr:nvPicPr>
        <xdr:cNvPr id="3" name="Picture 2">
          <a:extLst>
            <a:ext uri="{FF2B5EF4-FFF2-40B4-BE49-F238E27FC236}">
              <a16:creationId xmlns:a16="http://schemas.microsoft.com/office/drawing/2014/main" id="{4F418D84-A9CD-4FB1-940E-3A6BABEA3271}"/>
            </a:ext>
          </a:extLst>
        </xdr:cNvPr>
        <xdr:cNvPicPr>
          <a:picLocks noChangeAspect="1"/>
        </xdr:cNvPicPr>
      </xdr:nvPicPr>
      <xdr:blipFill>
        <a:blip xmlns:r="http://schemas.openxmlformats.org/officeDocument/2006/relationships" r:embed="rId2"/>
        <a:stretch>
          <a:fillRect/>
        </a:stretch>
      </xdr:blipFill>
      <xdr:spPr>
        <a:xfrm>
          <a:off x="6096000" y="0"/>
          <a:ext cx="7173326" cy="2343477"/>
        </a:xfrm>
        <a:prstGeom prst="rect">
          <a:avLst/>
        </a:prstGeom>
      </xdr:spPr>
    </xdr:pic>
    <xdr:clientData/>
  </xdr:twoCellAnchor>
  <xdr:twoCellAnchor editAs="oneCell">
    <xdr:from>
      <xdr:col>0</xdr:col>
      <xdr:colOff>0</xdr:colOff>
      <xdr:row>29</xdr:row>
      <xdr:rowOff>0</xdr:rowOff>
    </xdr:from>
    <xdr:to>
      <xdr:col>10</xdr:col>
      <xdr:colOff>467641</xdr:colOff>
      <xdr:row>56</xdr:row>
      <xdr:rowOff>76929</xdr:rowOff>
    </xdr:to>
    <xdr:pic>
      <xdr:nvPicPr>
        <xdr:cNvPr id="4" name="Picture 3">
          <a:extLst>
            <a:ext uri="{FF2B5EF4-FFF2-40B4-BE49-F238E27FC236}">
              <a16:creationId xmlns:a16="http://schemas.microsoft.com/office/drawing/2014/main" id="{AC075290-26E6-4355-9DA0-34389FA671F9}"/>
            </a:ext>
          </a:extLst>
        </xdr:cNvPr>
        <xdr:cNvPicPr>
          <a:picLocks noChangeAspect="1"/>
        </xdr:cNvPicPr>
      </xdr:nvPicPr>
      <xdr:blipFill>
        <a:blip xmlns:r="http://schemas.openxmlformats.org/officeDocument/2006/relationships" r:embed="rId3"/>
        <a:stretch>
          <a:fillRect/>
        </a:stretch>
      </xdr:blipFill>
      <xdr:spPr>
        <a:xfrm>
          <a:off x="0" y="5524500"/>
          <a:ext cx="6563641" cy="5220429"/>
        </a:xfrm>
        <a:prstGeom prst="rect">
          <a:avLst/>
        </a:prstGeom>
      </xdr:spPr>
    </xdr:pic>
    <xdr:clientData/>
  </xdr:twoCellAnchor>
  <xdr:oneCellAnchor>
    <xdr:from>
      <xdr:col>0</xdr:col>
      <xdr:colOff>0</xdr:colOff>
      <xdr:row>60</xdr:row>
      <xdr:rowOff>0</xdr:rowOff>
    </xdr:from>
    <xdr:ext cx="3648075" cy="1495425"/>
    <xdr:pic>
      <xdr:nvPicPr>
        <xdr:cNvPr id="5" name="Picture 4">
          <a:extLst>
            <a:ext uri="{FF2B5EF4-FFF2-40B4-BE49-F238E27FC236}">
              <a16:creationId xmlns:a16="http://schemas.microsoft.com/office/drawing/2014/main" id="{8C20648F-0952-4B77-B55E-F4171FC6D11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1430000"/>
          <a:ext cx="3648075" cy="14954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21T22:40:46.687"/>
    </inkml:context>
    <inkml:brush xml:id="br0">
      <inkml:brushProperty name="width" value="0.2" units="cm"/>
      <inkml:brushProperty name="height" value="0.4" units="cm"/>
      <inkml:brushProperty name="color" value="#FFFC00"/>
      <inkml:brushProperty name="tip" value="rectangle"/>
      <inkml:brushProperty name="rasterOp" value="maskPen"/>
      <inkml:brushProperty name="ignorePressure" value="1"/>
    </inkml:brush>
  </inkml:definitions>
  <inkml:trace contextRef="#ctx0" brushRef="#br0">1215 30,'-12'-1,"0"0,0-1,-20-6,-26-4,-314 7,207 7,135 0,-59 10,58-6,-57 2,-202-9,267 1</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21T22:40:57.398"/>
    </inkml:context>
    <inkml:brush xml:id="br0">
      <inkml:brushProperty name="width" value="0.2" units="cm"/>
      <inkml:brushProperty name="height" value="0.4" units="cm"/>
      <inkml:brushProperty name="color" value="#FFFC00"/>
      <inkml:brushProperty name="tip" value="rectangle"/>
      <inkml:brushProperty name="rasterOp" value="maskPen"/>
      <inkml:brushProperty name="ignorePressure" value="1"/>
    </inkml:brush>
  </inkml:definitions>
  <inkml:trace contextRef="#ctx0" brushRef="#br0">212 2440,'2'-37,"1"0,2 0,1 1,2 0,1 0,23-54,-27 73,0-1,-1 1,-1-1,-1 0,0-30,-8-90,-4 79,-2 1,-2 1,-3 0,-37-82,-10-33,43 110,5 17,-14-65,23 76,-15-100,12 52,3 37,-1-66,9 65,6-57,-4 85,0 1,2-1,0 1,1 0,0 0,12-21,114-201,-131 238,18-34,-1 0,20-55,-36 119,-3 49,-17 133,12 271,19-334,1 51,-12-42,-5 133,-24-105,2-60,17-93,1-1,1 1,-1 40,8-52,0-1,2 1,0 0,1-1,1 0,1 0,1 0,0-1,15 26,-12-22,-3-1</inkml:trace>
</inkml:ink>
</file>

<file path=xl/persons/person.xml><?xml version="1.0" encoding="utf-8"?>
<personList xmlns="http://schemas.microsoft.com/office/spreadsheetml/2018/threadedcomments" xmlns:x="http://schemas.openxmlformats.org/spreadsheetml/2006/main">
  <person displayName="Jett Koen" id="{FA0E6215-7A3E-4787-AED2-DA1730B65F93}" userId="S::Jett.Koen@tceq.texas.gov::6fe036ec-0c95-4a16-b607-6235c4ab72dd"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5BF8A65-40AA-407F-AAED-DBDE9EDB7CCE}" name="PBR_LIST" displayName="PBR_LIST" ref="A10:B18" totalsRowShown="0" headerRowDxfId="282" dataDxfId="280" headerRowBorderDxfId="281" tableBorderDxfId="279" totalsRowBorderDxfId="278">
  <autoFilter ref="A10:B18" xr:uid="{55BF8A65-40AA-407F-AAED-DBDE9EDB7CCE}">
    <filterColumn colId="0" hiddenButton="1"/>
    <filterColumn colId="1" hiddenButton="1"/>
  </autoFilter>
  <tableColumns count="2">
    <tableColumn id="1" xr3:uid="{F7DF96AE-3A81-466C-8576-45BB7E6C4356}" name="Rule Reference" dataDxfId="277" dataCellStyle="Hyperlink"/>
    <tableColumn id="2" xr3:uid="{D4AEDBBA-CBA5-4290-B291-4F3D6BF08C12}" name="Facility Description" dataDxfId="276"/>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B64EE913-D72C-4CC8-AA33-4AE2C512D0C0}" name="Checklist_106.149" displayName="Checklist_106.149" ref="B79:C85" totalsRowShown="0" headerRowDxfId="221" dataDxfId="219" headerRowBorderDxfId="220" tableBorderDxfId="218" totalsRowBorderDxfId="217" headerRowCellStyle="Header">
  <autoFilter ref="B79:C85" xr:uid="{B64EE913-D72C-4CC8-AA33-4AE2C512D0C0}">
    <filterColumn colId="0" hiddenButton="1"/>
    <filterColumn colId="1" hiddenButton="1"/>
  </autoFilter>
  <tableColumns count="2">
    <tableColumn id="1" xr3:uid="{999DC21E-7763-4019-9D40-8A74267FCBE8}" name="Requested Information" dataDxfId="216" dataCellStyle="Locked"/>
    <tableColumn id="2" xr3:uid="{99398D5E-CAAD-43F1-AC27-03E1A6CA2BFA}" name="Response" dataDxfId="215"/>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D46B106-E8DB-4D46-A0BC-F86ABCABB9E5}" name="Checklist_106.150" displayName="Checklist_106.150" ref="B88:C95" totalsRowShown="0" headerRowDxfId="214" dataDxfId="212" headerRowBorderDxfId="213" tableBorderDxfId="211" totalsRowBorderDxfId="210" headerRowCellStyle="Header">
  <autoFilter ref="B88:C95" xr:uid="{0D46B106-E8DB-4D46-A0BC-F86ABCABB9E5}">
    <filterColumn colId="0" hiddenButton="1"/>
    <filterColumn colId="1" hiddenButton="1"/>
  </autoFilter>
  <tableColumns count="2">
    <tableColumn id="1" xr3:uid="{60D26012-E556-43C6-AA43-A25806E0F859}" name="Requested Information" dataDxfId="209" dataCellStyle="Locked"/>
    <tableColumn id="2" xr3:uid="{4BC975D0-9CF4-43AC-A4AE-8F80DCD2EE3A}" name="Response" dataDxfId="208"/>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D8180CA6-B516-43A1-AA33-377A12D4C8D5}" name="Checklist_106.143" displayName="Checklist_106.143" ref="B32:C37" totalsRowShown="0" headerRowDxfId="207" dataDxfId="205" headerRowBorderDxfId="206" tableBorderDxfId="204" totalsRowBorderDxfId="203" headerRowCellStyle="Header">
  <autoFilter ref="B32:C37" xr:uid="{D8180CA6-B516-43A1-AA33-377A12D4C8D5}">
    <filterColumn colId="0" hiddenButton="1"/>
    <filterColumn colId="1" hiddenButton="1"/>
  </autoFilter>
  <tableColumns count="2">
    <tableColumn id="1" xr3:uid="{32937B9D-266D-4233-9243-432D9CFA0E92}" name="Requested Information" dataDxfId="202" dataCellStyle="Locked"/>
    <tableColumn id="2" xr3:uid="{1B48D0AE-C581-4CF4-AFD2-CEA41ADB2E64}" name="Response" dataDxfId="201"/>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89751385-B39E-4B43-BBE7-4C2745C9B34A}" name="Material_Handling" displayName="Material_Handling" ref="A9:AG33" totalsRowShown="0" headerRowDxfId="200" dataDxfId="198" headerRowBorderDxfId="199" tableBorderDxfId="197">
  <autoFilter ref="A9:AG33" xr:uid="{89751385-B39E-4B43-BBE7-4C2745C9B34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autoFilter>
  <tableColumns count="33">
    <tableColumn id="33" xr3:uid="{0DCEF722-3118-4071-BB83-91E480B9658F}" name="Type" dataDxfId="196"/>
    <tableColumn id="1" xr3:uid="{377E5944-4813-4876-95B7-CD6ABF32F9C9}" name="Data" dataDxfId="195"/>
    <tableColumn id="32" xr3:uid="{1CADF424-909B-4A97-BC1F-208E27F9A92A}" name="Units" dataDxfId="194"/>
    <tableColumn id="2" xr3:uid="{FFB48F62-D93B-4DA8-BCF5-3DB99C52B64E}" name="Option 1" dataDxfId="193"/>
    <tableColumn id="3" xr3:uid="{E01FCC27-F0B6-4961-9D80-B9E3D87BC18E}" name="Option 2" dataDxfId="192"/>
    <tableColumn id="4" xr3:uid="{B933CAC5-8800-41B3-800E-7BCB3703BAE5}" name="Option 3" dataDxfId="191"/>
    <tableColumn id="5" xr3:uid="{BB73D52E-8A95-4457-B3C3-FC3C363BD0D5}" name="Option 4" dataDxfId="190"/>
    <tableColumn id="6" xr3:uid="{EC4C4A80-C81F-4F8F-92D1-01B982E59B94}" name="Option 5" dataDxfId="189"/>
    <tableColumn id="7" xr3:uid="{349B30D5-263B-4B70-9E19-1D2BB5C645D4}" name="Option 6" dataDxfId="188"/>
    <tableColumn id="8" xr3:uid="{9F63B9D0-A874-4E57-859B-80D77361C5F4}" name="Option 7" dataDxfId="187"/>
    <tableColumn id="9" xr3:uid="{DD7588F2-5E7F-4F24-9A34-2FDD111A30CF}" name="Option 8" dataDxfId="186"/>
    <tableColumn id="10" xr3:uid="{23F24A5A-5D42-42F6-B5A1-B9FF3803CA26}" name="Option 9" dataDxfId="185"/>
    <tableColumn id="11" xr3:uid="{3EBCCA8A-2CC7-4447-B579-1E50F3C91063}" name="Option 10" dataDxfId="184"/>
    <tableColumn id="12" xr3:uid="{B7E4F9A2-5732-49CE-B670-FF81A1E492E2}" name="Option 11" dataDxfId="183"/>
    <tableColumn id="13" xr3:uid="{D5F56732-4B7A-4D48-A6D4-B878D231BD4B}" name="Option 12" dataDxfId="182"/>
    <tableColumn id="14" xr3:uid="{CAA8820C-FB5D-41B5-86F8-159703E50ED9}" name="Option 13" dataDxfId="181"/>
    <tableColumn id="15" xr3:uid="{43BCEE2F-6D47-45CE-B190-835C7255EAE4}" name="Option 14" dataDxfId="180"/>
    <tableColumn id="16" xr3:uid="{DF92A418-8A96-4A19-B194-212718FBC8D5}" name="Option 15" dataDxfId="179"/>
    <tableColumn id="17" xr3:uid="{7C4C3A5E-8982-4058-A383-ECA720573B64}" name="Option 16" dataDxfId="178"/>
    <tableColumn id="18" xr3:uid="{56B0B006-3265-4F95-9C07-BACC41EB5446}" name="Option 17" dataDxfId="177"/>
    <tableColumn id="19" xr3:uid="{BC99006D-99EC-48D4-9F04-98F1B9463922}" name="Option 18" dataDxfId="176"/>
    <tableColumn id="20" xr3:uid="{9DDF889B-32AB-442A-B10E-105EB980983C}" name="Option 19" dataDxfId="175"/>
    <tableColumn id="21" xr3:uid="{CBD5050A-9707-4711-8800-BF66F4049526}" name="Option 20" dataDxfId="174"/>
    <tableColumn id="22" xr3:uid="{C481D7D6-1F8B-4567-BE5D-DCF1B403F54A}" name="Option 21" dataDxfId="173"/>
    <tableColumn id="23" xr3:uid="{85F32BFF-E7B2-47D1-85C4-71171212B377}" name="Option 22" dataDxfId="172"/>
    <tableColumn id="24" xr3:uid="{9259E950-035F-4588-9DDF-57C5C3B4E1C1}" name="Option 23" dataDxfId="171"/>
    <tableColumn id="25" xr3:uid="{5AADA4B1-09B2-466E-A27A-F830B44616B5}" name="Option 24" dataDxfId="170"/>
    <tableColumn id="26" xr3:uid="{ABF4DCBA-1AB1-4B5E-96DF-E5D103158A48}" name="Option 25" dataDxfId="169"/>
    <tableColumn id="27" xr3:uid="{588C4D3D-B109-4C22-974E-C5CC38526CB8}" name="Option 26" dataDxfId="168"/>
    <tableColumn id="28" xr3:uid="{505008C3-7F66-43D9-BD6D-7EDADF2F0D49}" name="Option 27" dataDxfId="167"/>
    <tableColumn id="29" xr3:uid="{2041A618-2EEE-4ED3-9153-52AF7CC51452}" name="Option 28" dataDxfId="166"/>
    <tableColumn id="30" xr3:uid="{D9B4551B-01A4-4A37-A8F4-288C586EEECC}" name="Option 29" dataDxfId="165"/>
    <tableColumn id="31" xr3:uid="{0D1573BA-91F1-473D-A3EE-87176D3A1A04}" name="Option 30" dataDxfId="164"/>
  </tableColumns>
  <tableStyleInfo showFirstColumn="0" showLastColumn="0" showRowStripes="0"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CCE6019-7A82-40C7-A131-B5A4AF5E6F2B}" name="Drop" displayName="Drop" ref="A12:M37" totalsRowShown="0" headerRowDxfId="163" dataDxfId="161" headerRowBorderDxfId="162" tableBorderDxfId="160">
  <tableColumns count="13">
    <tableColumn id="1" xr3:uid="{81453C84-5064-4F0B-BA62-6ACFABFD7D0A}" name="Type" dataDxfId="159">
      <calculatedColumnFormula>+A12</calculatedColumnFormula>
    </tableColumn>
    <tableColumn id="2" xr3:uid="{40018545-B29D-4041-85BA-389A2A0C1968}" name="Data" dataDxfId="158"/>
    <tableColumn id="3" xr3:uid="{8DDAA9C1-DD90-422A-B402-DC97CE41A0D2}" name="Units" dataDxfId="157"/>
    <tableColumn id="4" xr3:uid="{45E366D6-CE27-4C08-879E-CD8A34A6159C}" name="Option 1" dataDxfId="156"/>
    <tableColumn id="5" xr3:uid="{6AC7C1F7-899F-48C2-82E7-DC917B9946A9}" name="Option 2" dataDxfId="155"/>
    <tableColumn id="6" xr3:uid="{7E8EB2B1-0B2C-4223-B0BC-BCCCF18D9E3D}" name="Option 3" dataDxfId="154"/>
    <tableColumn id="7" xr3:uid="{13C0CC93-58AC-438E-BA17-A280E0F00E03}" name="Option 4" dataDxfId="153"/>
    <tableColumn id="8" xr3:uid="{EB62029B-92E5-4C26-90AA-3CFBC4FCE6B0}" name="Option 5" dataDxfId="152"/>
    <tableColumn id="9" xr3:uid="{13A77277-DAA0-4659-83E7-D62A2A994A68}" name="Option 6" dataDxfId="151"/>
    <tableColumn id="10" xr3:uid="{640133BE-5248-4ADB-B0CD-2805B58BD879}" name="Option 7" dataDxfId="150"/>
    <tableColumn id="11" xr3:uid="{91158202-BC69-4FD2-AAAA-506C84A75EC0}" name="Option 8" dataDxfId="149"/>
    <tableColumn id="12" xr3:uid="{E15DEEC5-7419-4C87-8D36-9F619424B9C8}" name="Option 9" dataDxfId="148"/>
    <tableColumn id="13" xr3:uid="{A45743C7-4F93-4418-9051-1DD0D9CBEDBC}" name="Option 10" dataDxfId="147"/>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9E6DED41-6517-4DE7-98A6-4EF046253B04}" name="dV_Gr_per_dscf" displayName="dV_Gr_per_dscf" ref="A10:M27" totalsRowShown="0" headerRowDxfId="146" dataDxfId="144" headerRowBorderDxfId="145" tableBorderDxfId="143">
  <autoFilter ref="A10:M27" xr:uid="{9E6DED41-6517-4DE7-98A6-4EF046253B0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ADC730E7-80AA-4822-95C1-18049F83D1C9}" name="Type" dataDxfId="142"/>
    <tableColumn id="2" xr3:uid="{9449F596-8333-4580-A50F-EA8185F70DDA}" name="Data" dataDxfId="141"/>
    <tableColumn id="3" xr3:uid="{F6972B99-AC83-47A8-B55C-22C353E7BF0E}" name="Units" dataDxfId="140"/>
    <tableColumn id="4" xr3:uid="{BB92A645-D872-4BBB-B7DA-D1571F4A2F1A}" name="Option 1" dataDxfId="139"/>
    <tableColumn id="5" xr3:uid="{CCA924BF-C0B4-40FD-BDE8-7ECCD5E16D28}" name="Option 2" dataDxfId="138"/>
    <tableColumn id="6" xr3:uid="{FEE7A9D5-9AB8-4566-9D3E-1AD53079AB0F}" name="Option 3" dataDxfId="137"/>
    <tableColumn id="7" xr3:uid="{22B05502-6096-4196-BE14-BF83F6E654BB}" name="Option 4" dataDxfId="136"/>
    <tableColumn id="8" xr3:uid="{C1E526EC-09CB-4999-B43F-9D584C55AE45}" name="Option 5" dataDxfId="135"/>
    <tableColumn id="9" xr3:uid="{78BD0986-6D73-40FD-A067-BF90D3AE0C71}" name="Option 6" dataDxfId="134"/>
    <tableColumn id="10" xr3:uid="{EEA3F79D-1538-4A24-A2A9-8BA8C8367A60}" name="Option 7" dataDxfId="133"/>
    <tableColumn id="11" xr3:uid="{FF34698E-36B9-479A-BDB6-B5767EA51F35}" name="Option 8" dataDxfId="132"/>
    <tableColumn id="12" xr3:uid="{B71575CB-96B7-42E7-987C-D2FB3D2628F3}" name="Option 9" dataDxfId="131"/>
    <tableColumn id="13" xr3:uid="{4CE08BDD-C05F-42A0-A052-0BE119F2F6D6}" name="Option 10" dataDxfId="130"/>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BB336373-302B-494A-AE6A-65838E5EF365}" name="control_alt" displayName="control_alt" ref="A8:N27" totalsRowShown="0" headerRowDxfId="129" dataDxfId="127" headerRowBorderDxfId="128" tableBorderDxfId="126">
  <autoFilter ref="A8:N27" xr:uid="{BB336373-302B-494A-AE6A-65838E5EF36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5613E20-1344-4A16-B40D-AA2B6CDC8450}" name="Type" dataDxfId="125"/>
    <tableColumn id="2" xr3:uid="{AE2352D2-93E7-4DD2-BCE3-117012DF97E7}" name="Data" dataDxfId="124"/>
    <tableColumn id="3" xr3:uid="{ED15DF8F-328D-4D4D-907D-459D55509D50}" name="Units" dataDxfId="123"/>
    <tableColumn id="14" xr3:uid="{3A41F665-79E4-4761-B546-8214EDE63FD0}" name="Example" dataDxfId="122"/>
    <tableColumn id="4" xr3:uid="{14DF730E-D269-4007-8AD2-543E825423FF}" name="Option 1" dataDxfId="121"/>
    <tableColumn id="5" xr3:uid="{B31DF0BC-80A6-42D5-8A33-4228C70109C1}" name="Option 2" dataDxfId="120"/>
    <tableColumn id="6" xr3:uid="{8903F6E2-D7EA-42ED-9483-AF182DAB5433}" name="Option 3" dataDxfId="119"/>
    <tableColumn id="7" xr3:uid="{67AC653B-E8AF-4AFA-B9CB-920860711D77}" name="Option 4" dataDxfId="118"/>
    <tableColumn id="8" xr3:uid="{ED883A48-9AAD-437C-B6DB-D1EE51F71743}" name="Option 5" dataDxfId="117"/>
    <tableColumn id="9" xr3:uid="{CD027059-D873-4D8F-888B-4D1EED44D876}" name="Option 6" dataDxfId="116"/>
    <tableColumn id="10" xr3:uid="{04D95C75-9151-4FEF-BCCA-86D09E6EFD0F}" name="Option 7" dataDxfId="115"/>
    <tableColumn id="11" xr3:uid="{A0A3A79A-1951-4F0A-B207-AC69B4909FCF}" name="Option 8" dataDxfId="114"/>
    <tableColumn id="12" xr3:uid="{1BA5B6C7-4F55-4CFA-9C6D-83186A96C9AD}" name="Option 9" dataDxfId="113"/>
    <tableColumn id="13" xr3:uid="{74FBA301-AA34-4A2F-9384-50E6EB91DCAF}" name="Option 10" dataDxfId="112"/>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74E84A36-8E56-46BA-9CA5-B0F7EF39572A}" name="Stockpiles" displayName="Stockpiles" ref="A9:M26" totalsRowShown="0" headerRowDxfId="111" dataDxfId="109" headerRowBorderDxfId="110" tableBorderDxfId="108">
  <autoFilter ref="A9:M26" xr:uid="{74E84A36-8E56-46BA-9CA5-B0F7EF39572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90828524-D798-4E2E-89FA-9911A3108D36}" name="Type" dataDxfId="107"/>
    <tableColumn id="2" xr3:uid="{2E367BCC-80CD-4CEA-8195-3B0094FCEBB3}" name="Data" dataDxfId="106"/>
    <tableColumn id="3" xr3:uid="{D68ABF81-E7C6-450A-9C1E-92FF71AF1B5D}" name="Units" dataDxfId="105"/>
    <tableColumn id="4" xr3:uid="{242C7FD6-852B-424E-9DC9-82D0059DC714}" name="Option 1" dataDxfId="104"/>
    <tableColumn id="5" xr3:uid="{BC1A91CD-0B28-4FF6-B56F-C88DDAE93475}" name="Option 2" dataDxfId="103"/>
    <tableColumn id="6" xr3:uid="{F4989266-07F4-4501-9363-44A59099EE21}" name="Option 3" dataDxfId="102"/>
    <tableColumn id="7" xr3:uid="{5DD105D1-7EA0-4DA7-BBF4-68F13285EBAC}" name="Option 4" dataDxfId="101"/>
    <tableColumn id="8" xr3:uid="{C661BFC9-0077-4B14-A08D-FB79052E2F45}" name="Option 5" dataDxfId="100"/>
    <tableColumn id="9" xr3:uid="{4EEF68B5-0059-4CC4-85DB-E00E483B4CA8}" name="Option 6" dataDxfId="99"/>
    <tableColumn id="10" xr3:uid="{FBDE0131-0508-4811-B5AD-5065E499C99A}" name="Option 7" dataDxfId="98"/>
    <tableColumn id="11" xr3:uid="{7D0F5E96-2982-4D6D-8729-A07AE1E71171}" name="Option 8" dataDxfId="97"/>
    <tableColumn id="12" xr3:uid="{56EFA1EA-5CE5-4B70-ADE7-6B764F4D305C}" name="Option 9" dataDxfId="96"/>
    <tableColumn id="13" xr3:uid="{BE3B579B-EEC5-49BB-B45B-1CA4645F532E}" name="Option 10" dataDxfId="95"/>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BDDE19DB-C405-46DF-9FF1-9464DA039A96}" name="Silo_Filling" displayName="Silo_Filling" ref="A9:M44" totalsRowShown="0" headerRowDxfId="94" dataDxfId="93" tableBorderDxfId="92">
  <autoFilter ref="A9:M44" xr:uid="{BDDE19DB-C405-46DF-9FF1-9464DA039A9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33" xr3:uid="{F39E008E-F170-4CEB-9C22-E6AA7B702C91}" name="Type" dataDxfId="91"/>
    <tableColumn id="1" xr3:uid="{87E90324-6DE3-4978-98B9-4FB2895F5E17}" name="Data" dataDxfId="90"/>
    <tableColumn id="2" xr3:uid="{3C52183C-3CF9-4C3D-B6F2-E67EB2D46258}" name="Units" dataDxfId="89"/>
    <tableColumn id="3" xr3:uid="{4A0F6150-3028-41E9-A10A-2A76FF2C4517}" name="Option 1" dataDxfId="88"/>
    <tableColumn id="4" xr3:uid="{27380F08-383C-428A-A7FA-ECA093C77DEC}" name="Option 2" dataDxfId="87"/>
    <tableColumn id="5" xr3:uid="{010B7328-9C08-4D9E-8DC1-E086F52CB145}" name="Option 3" dataDxfId="86"/>
    <tableColumn id="6" xr3:uid="{E38CEACB-C595-47AA-AC02-63435A641D9A}" name="Option 4" dataDxfId="85"/>
    <tableColumn id="7" xr3:uid="{ED9B0272-7A59-4839-BAA1-C964355FCB9D}" name="Option 5" dataDxfId="84"/>
    <tableColumn id="8" xr3:uid="{69843A74-8768-4099-B4B5-3259A7F27DD2}" name="Option 6" dataDxfId="83"/>
    <tableColumn id="9" xr3:uid="{903E8204-1AD5-4274-AF31-4CFDD7ED415E}" name="Option 7" dataDxfId="82"/>
    <tableColumn id="10" xr3:uid="{D46AC2A4-EE7F-4010-B05A-36A31D38A3D3}" name="Option 8" dataDxfId="81"/>
    <tableColumn id="11" xr3:uid="{C373687D-D24A-44F6-A1C4-402A82A81EF0}" name="Option 9" dataDxfId="80"/>
    <tableColumn id="12" xr3:uid="{45838A6C-D5E9-4A01-8FFF-DDD96FB23639}" name="Option 10" dataDxfId="79"/>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192BC12A-A191-43F7-B9E4-5E1E78EFB43C}" name="Emis_Summary" displayName="Emis_Summary" ref="A8:O89" totalsRowShown="0" headerRowDxfId="78" dataDxfId="76" headerRowBorderDxfId="77" tableBorderDxfId="75">
  <autoFilter ref="A8:O89" xr:uid="{192BC12A-A191-43F7-B9E4-5E1E78EFB43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701C3268-2329-469B-9720-D2A765735EA9}" name="EPN" dataDxfId="74">
      <calculatedColumnFormula>IFERROR(INDEX('Material Handling'!$C$10:$AH$33,MATCH(A$97,Material_Handling[Data],0),MATCH($Q9,'Material Handling'!$C$40:$AH$40,0)), IFERROR(INDEX('Drop Point'!$B$13:$M$36,MATCH(A$97,'Drop Point'!$B$13:$B$37,0),MATCH($Q9,'Drop Point'!$B$41:$M$41,0)),
IFERROR(INDEX('Control - Grain dscf'!$C$11:$N$27,MATCH(A$97,'Control - Grain dscf'!$B$11:$B$27,0),MATCH($Q9,'Control - Grain dscf'!$C$32:$N$32,0)),
IFERROR(INDEX('Control - Alt'!$C$9:$O$27,MATCH(A$97,'Control - Alt'!$B$9:$B$27,0),MATCH($Q9,'Control - Alt'!$C$32:$O$32,0)),
IFERROR(INDEX(Stockpile!$C$10:$M$26,MATCH(A$97,Stockpile!$B$10:$B$26,0),MATCH($Q9,Stockpile!$C$30:$M$30,0)),
IFERROR(INDEX('Asphalt Silo &amp; Unloading'!$D$10:$M$44,MATCH(A$97,'Asphalt Silo &amp; Unloading'!$B$10:$B$44,0),MATCH($Q9,'Asphalt Silo &amp; Unloading'!$D$49:$M$49,0)),""))))))</calculatedColumnFormula>
    </tableColumn>
    <tableColumn id="2" xr3:uid="{DCAB6384-A538-4D6C-87B7-6FA49D6B578D}" name="FIN" dataDxfId="73">
      <calculatedColumnFormula>IFERROR(INDEX('Material Handling'!$C$10:$AH$33,MATCH(B$97,Material_Handling[Data],0),MATCH($Q9,'Material Handling'!$C$40:$AH$40,0)), IFERROR(INDEX('Drop Point'!$B$13:$M$36,MATCH(B$97,'Drop Point'!$B$13:$B$37,0),MATCH($Q9,'Drop Point'!$B$41:$M$41,0)),
IFERROR(INDEX('Control - Grain dscf'!$C$11:$N$27,MATCH(B$97,'Control - Grain dscf'!$B$11:$B$27,0),MATCH($Q9,'Control - Grain dscf'!$C$32:$N$32,0)),
IFERROR(INDEX('Control - Alt'!$C$9:$O$27,MATCH(B$97,'Control - Alt'!$B$9:$B$27,0),MATCH($Q9,'Control - Alt'!$C$32:$O$32,0)),
IFERROR(INDEX(Stockpile!$C$10:$M$26,MATCH(B$97,Stockpile!$B$10:$B$26,0),MATCH($Q9,Stockpile!$C$30:$M$30,0)),
IFERROR(INDEX('Asphalt Silo &amp; Unloading'!$D$10:$M$44,MATCH(B$97,'Asphalt Silo &amp; Unloading'!$B$10:$B$44,0),MATCH($Q9,'Asphalt Silo &amp; Unloading'!$D$49:$M$49,0)),""))))))</calculatedColumnFormula>
    </tableColumn>
    <tableColumn id="3" xr3:uid="{D6DC311F-44E7-4163-B710-48EC2E5184DE}" name="Source Description" dataDxfId="72">
      <calculatedColumnFormula>IFERROR(INDEX('Material Handling'!$C$10:$AH$33,MATCH(C$97,Material_Handling[Data],0),MATCH($Q9,'Material Handling'!$C$40:$AH$40,0)), IFERROR(INDEX('Drop Point'!$B$13:$M$36,MATCH(C$97,'Drop Point'!$B$13:$B$37,0),MATCH($Q9,'Drop Point'!$B$41:$M$41,0)),
IFERROR(INDEX('Control - Grain dscf'!$C$11:$N$27,MATCH(C$97,'Control - Grain dscf'!$B$11:$B$27,0),MATCH($Q9,'Control - Grain dscf'!$C$32:$N$32,0)),
IFERROR(INDEX('Control - Alt'!$C$9:$O$27,MATCH(C$97,'Control - Alt'!$B$9:$B$27,0),MATCH($Q9,'Control - Alt'!$C$32:$O$32,0)),
IFERROR(INDEX(Stockpile!$C$10:$M$26,MATCH(C$97,Stockpile!$B$10:$B$26,0),MATCH($Q9,Stockpile!$C$30:$M$30,0)),
IFERROR(INDEX('Asphalt Silo &amp; Unloading'!$D$10:$M$44,MATCH(C$97,'Asphalt Silo &amp; Unloading'!$B$10:$B$44,0),MATCH($Q9,'Asphalt Silo &amp; Unloading'!$D$49:$M$49,0)),""))))))</calculatedColumnFormula>
    </tableColumn>
    <tableColumn id="4" xr3:uid="{8E81E7C7-8E6A-4A6D-B21B-57B85D80F34E}" name="Rule Number" dataDxfId="71">
      <calculatedColumnFormula>IFERROR(INDEX('Material Handling'!$C$10:$AH$33,MATCH(D$97,Material_Handling[Data],0),MATCH($Q9,'Material Handling'!$C$40:$AH$40,0)), IFERROR(INDEX('Drop Point'!$B$13:$M$36,MATCH(D$97,'Drop Point'!$B$13:$B$37,0),MATCH($Q9,'Drop Point'!$B$41:$M$41,0)),
IFERROR(INDEX('Control - Grain dscf'!$C$11:$N$27,MATCH(D$97,'Control - Grain dscf'!$B$11:$B$27,0),MATCH($Q9,'Control - Grain dscf'!$C$32:$N$32,0)),
IFERROR(INDEX('Control - Alt'!$C$9:$O$27,MATCH(D$97,'Control - Alt'!$B$9:$B$27,0),MATCH($Q9,'Control - Alt'!$C$32:$O$32,0)),
IFERROR(INDEX(Stockpile!$C$10:$M$26,MATCH(D$97,Stockpile!$B$10:$B$26,0),MATCH($Q9,Stockpile!$C$30:$M$30,0)),
IFERROR(INDEX('Asphalt Silo &amp; Unloading'!$D$10:$M$44,MATCH(D$97,'Asphalt Silo &amp; Unloading'!$B$10:$B$44,0),MATCH($Q9,'Asphalt Silo &amp; Unloading'!$D$49:$M$49,0)),""))))))</calculatedColumnFormula>
    </tableColumn>
    <tableColumn id="15" xr3:uid="{C067870E-9E20-455E-B174-2087E775D37B}" name="Annual Usage (hr/yr)" dataDxfId="70">
      <calculatedColumnFormula>IFERROR(INDEX('Material Handling'!$C$10:$AH$33,MATCH(E$97,Material_Handling[Data],0),MATCH($Q9,'Material Handling'!$C$40:$AH$40,0)), IFERROR(INDEX('Drop Point'!$B$13:$M$36,MATCH(E$97,'Drop Point'!$B$13:$B$37,0),MATCH($Q9,'Drop Point'!$B$41:$M$41,0)),
IFERROR(INDEX('Control - Grain dscf'!$C$11:$N$27,MATCH(E$97,'Control - Grain dscf'!$B$11:$B$27,0),MATCH($Q9,'Control - Grain dscf'!$C$32:$N$32,0)),
IFERROR(INDEX('Control - Alt'!$C$9:$O$27,MATCH(E$97,'Control - Alt'!$B$9:$B$27,0),MATCH($Q9,'Control - Alt'!$C$32:$O$32,0)),
IFERROR(INDEX(Stockpile!$C$10:$M$26,MATCH(E$97,Stockpile!$B$10:$B$26,0),MATCH($Q9,Stockpile!$C$30:$M$30,0)),
IFERROR(INDEX('Asphalt Silo &amp; Unloading'!$D$10:$M$44,MATCH(E$97,'Asphalt Silo &amp; Unloading'!$B$10:$B$44,0),MATCH($Q9,'Asphalt Silo &amp; Unloading'!$D$49:$M$49,0)),""))))))</calculatedColumnFormula>
    </tableColumn>
    <tableColumn id="5" xr3:uid="{AA1C74FE-68BC-4065-9175-B447F04A1D3C}" name="PM (lb/hr)" dataDxfId="69">
      <calculatedColumnFormula>IFERROR(INDEX('Material Handling'!$C$10:$AH$33,MATCH(F$97,Material_Handling[Data],0),MATCH($Q9,'Material Handling'!$C$40:$AH$40,0)), IFERROR(INDEX('Drop Point'!$B$13:$M$36,MATCH(F$97,'Drop Point'!$B$13:$B$37,0),MATCH($Q9,'Drop Point'!$B$41:$M$41,0)),
IFERROR(INDEX('Control - Grain dscf'!$C$11:$N$27,MATCH(F$97,'Control - Grain dscf'!$B$11:$B$27,0),MATCH($Q9,'Control - Grain dscf'!$C$32:$N$32,0)),
IFERROR(INDEX('Control - Alt'!$C$9:$O$27,MATCH(F$97,'Control - Alt'!$B$9:$B$27,0),MATCH($Q9,'Control - Alt'!$C$32:$O$32,0)),
IFERROR(INDEX(Stockpile!$C$10:$M$26,MATCH(F$97,Stockpile!$B$10:$B$26,0),MATCH($Q9,Stockpile!$C$30:$M$30,0)),
IFERROR(INDEX('Asphalt Silo &amp; Unloading'!$D$10:$M$44,MATCH(F$97,'Asphalt Silo &amp; Unloading'!$B$10:$B$44,0),MATCH($Q9,'Asphalt Silo &amp; Unloading'!$D$49:$M$49,0)),""))))))</calculatedColumnFormula>
    </tableColumn>
    <tableColumn id="6" xr3:uid="{8589BF21-7F63-471E-9E51-A66FF972FC75}" name="PM (tpy)" dataDxfId="68">
      <calculatedColumnFormula>IFERROR(INDEX('Material Handling'!$C$10:$AH$33,MATCH(G$97,Material_Handling[Data],0),MATCH($Q9,'Material Handling'!$C$40:$AH$40,0)), IFERROR(INDEX('Drop Point'!$B$13:$M$36,MATCH(G$97,'Drop Point'!$B$13:$B$37,0),MATCH($Q9,'Drop Point'!$B$41:$M$41,0)),
IFERROR(INDEX('Control - Grain dscf'!$C$11:$N$27,MATCH(G$97,'Control - Grain dscf'!$B$11:$B$27,0),MATCH($Q9,'Control - Grain dscf'!$C$32:$N$32,0)),
IFERROR(INDEX('Control - Alt'!$C$9:$O$27,MATCH(G$97,'Control - Alt'!$B$9:$B$27,0),MATCH($Q9,'Control - Alt'!$C$32:$O$32,0)),
IFERROR(INDEX(Stockpile!$C$10:$M$26,MATCH(G$97,Stockpile!$B$10:$B$26,0),MATCH($Q9,Stockpile!$C$30:$M$30,0)),
IFERROR(INDEX('Asphalt Silo &amp; Unloading'!$D$10:$M$44,MATCH(G$97,'Asphalt Silo &amp; Unloading'!$B$10:$B$44,0),MATCH($Q9,'Asphalt Silo &amp; Unloading'!$D$49:$M$49,0)),""))))))</calculatedColumnFormula>
    </tableColumn>
    <tableColumn id="7" xr3:uid="{158E5F46-DDD4-4A37-8BC0-6DC856EA6D0A}" name="PM10 (lb/hr)" dataDxfId="67">
      <calculatedColumnFormula>IFERROR(INDEX('Material Handling'!$C$10:$AH$33,MATCH(H$97,Material_Handling[Data],0),MATCH($Q9,'Material Handling'!$C$40:$AH$40,0)), IFERROR(INDEX('Drop Point'!$B$13:$M$36,MATCH(H$97,'Drop Point'!$B$13:$B$37,0),MATCH($Q9,'Drop Point'!$B$41:$M$41,0)),
IFERROR(INDEX('Control - Grain dscf'!$C$11:$N$27,MATCH(H$97,'Control - Grain dscf'!$B$11:$B$27,0),MATCH($Q9,'Control - Grain dscf'!$C$32:$N$32,0)),
IFERROR(INDEX('Control - Alt'!$C$9:$O$27,MATCH(H$97,'Control - Alt'!$B$9:$B$27,0),MATCH($Q9,'Control - Alt'!$C$32:$O$32,0)),
IFERROR(INDEX(Stockpile!$C$10:$M$26,MATCH(H$97,Stockpile!$B$10:$B$26,0),MATCH($Q9,Stockpile!$C$30:$M$30,0)),
IFERROR(INDEX('Asphalt Silo &amp; Unloading'!$D$10:$M$44,MATCH(H$97,'Asphalt Silo &amp; Unloading'!$B$10:$B$44,0),MATCH($Q9,'Asphalt Silo &amp; Unloading'!$D$49:$M$49,0)),""))))))</calculatedColumnFormula>
    </tableColumn>
    <tableColumn id="8" xr3:uid="{134D53C0-F8AA-4F09-8798-21691FCC876C}" name="PM10 (tpy)" dataDxfId="66">
      <calculatedColumnFormula>IFERROR(INDEX('Material Handling'!$C$10:$AH$33,MATCH(I$97,Material_Handling[Data],0),MATCH($Q9,'Material Handling'!$C$40:$AH$40,0)), IFERROR(INDEX('Drop Point'!$B$13:$M$36,MATCH(I$97,'Drop Point'!$B$13:$B$37,0),MATCH($Q9,'Drop Point'!$B$41:$M$41,0)),
IFERROR(INDEX('Control - Grain dscf'!$C$11:$N$27,MATCH(I$97,'Control - Grain dscf'!$B$11:$B$27,0),MATCH($Q9,'Control - Grain dscf'!$C$32:$N$32,0)),
IFERROR(INDEX('Control - Alt'!$C$9:$O$27,MATCH(I$97,'Control - Alt'!$B$9:$B$27,0),MATCH($Q9,'Control - Alt'!$C$32:$O$32,0)),
IFERROR(INDEX(Stockpile!$C$10:$M$26,MATCH(I$97,Stockpile!$B$10:$B$26,0),MATCH($Q9,Stockpile!$C$30:$M$30,0)),
IFERROR(INDEX('Asphalt Silo &amp; Unloading'!$D$10:$M$44,MATCH(I$97,'Asphalt Silo &amp; Unloading'!$B$10:$B$44,0),MATCH($Q9,'Asphalt Silo &amp; Unloading'!$D$49:$M$49,0)),""))))))</calculatedColumnFormula>
    </tableColumn>
    <tableColumn id="13" xr3:uid="{CB0D95CD-B4F5-4C18-B88D-9EA4CE1DF944}" name="PM2.5 (lb/hr)" dataDxfId="65">
      <calculatedColumnFormula>IFERROR(INDEX('Material Handling'!$C$10:$AH$33,MATCH(J$97,Material_Handling[Data],0),MATCH($Q9,'Material Handling'!$C$40:$AH$40,0)), IFERROR(INDEX('Drop Point'!$B$13:$M$36,MATCH(J$97,'Drop Point'!$B$13:$B$37,0),MATCH($Q9,'Drop Point'!$B$41:$M$41,0)),
IFERROR(INDEX('Control - Grain dscf'!$C$11:$N$27,MATCH(J$97,'Control - Grain dscf'!$B$11:$B$27,0),MATCH($Q9,'Control - Grain dscf'!$C$32:$N$32,0)),
IFERROR(INDEX('Control - Alt'!$C$9:$O$27,MATCH(J$97,'Control - Alt'!$B$9:$B$27,0),MATCH($Q9,'Control - Alt'!$C$32:$O$32,0)),
IFERROR(INDEX(Stockpile!$C$10:$M$26,MATCH(J$97,Stockpile!$B$10:$B$26,0),MATCH($Q9,Stockpile!$C$30:$M$30,0)),
IFERROR(INDEX('Asphalt Silo &amp; Unloading'!$D$10:$M$44,MATCH(J$97,'Asphalt Silo &amp; Unloading'!$B$10:$B$44,0),MATCH($Q9,'Asphalt Silo &amp; Unloading'!$D$49:$M$49,0)),""))))))</calculatedColumnFormula>
    </tableColumn>
    <tableColumn id="14" xr3:uid="{D4811E83-B378-43AE-BB24-5A24E3E42F19}" name="PM2.5 (tpy)" dataDxfId="64">
      <calculatedColumnFormula>IFERROR(INDEX('Material Handling'!$C$10:$AH$33,MATCH(K$97,Material_Handling[Data],0),MATCH($Q9,'Material Handling'!$C$40:$AH$40,0)), IFERROR(INDEX('Drop Point'!$B$13:$M$36,MATCH(K$97,'Drop Point'!$B$13:$B$37,0),MATCH($Q9,'Drop Point'!$B$41:$M$41,0)),
IFERROR(INDEX('Control - Grain dscf'!$C$11:$N$27,MATCH(K$97,'Control - Grain dscf'!$B$11:$B$27,0),MATCH($Q9,'Control - Grain dscf'!$C$32:$N$32,0)),
IFERROR(INDEX('Control - Alt'!$C$9:$O$27,MATCH(K$97,'Control - Alt'!$B$9:$B$27,0),MATCH($Q9,'Control - Alt'!$C$32:$O$32,0)),
IFERROR(INDEX(Stockpile!$C$10:$M$26,MATCH(K$97,Stockpile!$B$10:$B$26,0),MATCH($Q9,Stockpile!$C$30:$M$30,0)),
IFERROR(INDEX('Asphalt Silo &amp; Unloading'!$D$10:$M$44,MATCH(K$97,'Asphalt Silo &amp; Unloading'!$B$10:$B$44,0),MATCH($Q9,'Asphalt Silo &amp; Unloading'!$D$49:$M$49,0)),""))))))</calculatedColumnFormula>
    </tableColumn>
    <tableColumn id="11" xr3:uid="{556A78B9-055A-4C5C-8F0C-5B6024E97F7A}" name="VOC (lb/hr)" dataDxfId="63">
      <calculatedColumnFormula>IFERROR(INDEX('Material Handling'!$C$10:$AH$33,MATCH(L$97,Material_Handling[Data],0),MATCH($Q9,'Material Handling'!$C$40:$AH$40,0)), IFERROR(INDEX('Drop Point'!$B$13:$M$36,MATCH(L$97,'Drop Point'!$B$13:$B$37,0),MATCH($Q9,'Drop Point'!$B$41:$M$41,0)),
IFERROR(INDEX('Control - Grain dscf'!$C$11:$N$27,MATCH(L$97,'Control - Grain dscf'!$B$11:$B$27,0),MATCH($Q9,'Control - Grain dscf'!$C$32:$N$32,0)),
IFERROR(INDEX('Control - Alt'!$C$9:$O$27,MATCH(L$97,'Control - Alt'!$B$9:$B$27,0),MATCH($Q9,'Control - Alt'!$C$32:$O$32,0)),
IFERROR(INDEX(Stockpile!$C$10:$M$26,MATCH(L$97,Stockpile!$B$10:$B$26,0),MATCH($Q9,Stockpile!$C$30:$M$30,0)),
IFERROR(INDEX('Asphalt Silo &amp; Unloading'!$D$10:$M$44,MATCH(L$97,'Asphalt Silo &amp; Unloading'!$B$10:$B$44,0),MATCH($Q9,'Asphalt Silo &amp; Unloading'!$D$49:$M$49,0)),""))))))</calculatedColumnFormula>
    </tableColumn>
    <tableColumn id="12" xr3:uid="{72D25FBC-8E6D-4B92-87CE-93C603492162}" name="VOC (tpy)" dataDxfId="62">
      <calculatedColumnFormula>IFERROR(INDEX('Material Handling'!$C$10:$AH$33,MATCH(M$97,Material_Handling[Data],0),MATCH($Q9,'Material Handling'!$C$40:$AH$40,0)), IFERROR(INDEX('Drop Point'!$B$13:$M$36,MATCH(M$97,'Drop Point'!$B$13:$B$37,0),MATCH($Q9,'Drop Point'!$B$41:$M$41,0)),
IFERROR(INDEX('Control - Grain dscf'!$C$11:$N$27,MATCH(M$97,'Control - Grain dscf'!$B$11:$B$27,0),MATCH($Q9,'Control - Grain dscf'!$C$32:$N$32,0)),
IFERROR(INDEX('Control - Alt'!$C$9:$O$27,MATCH(M$97,'Control - Alt'!$B$9:$B$27,0),MATCH($Q9,'Control - Alt'!$C$32:$O$32,0)),
IFERROR(INDEX(Stockpile!$C$10:$M$26,MATCH(M$97,Stockpile!$B$10:$B$26,0),MATCH($Q9,Stockpile!$C$30:$M$30,0)),
IFERROR(INDEX('Asphalt Silo &amp; Unloading'!$D$10:$M$44,MATCH(M$97,'Asphalt Silo &amp; Unloading'!$B$10:$B$44,0),MATCH($Q9,'Asphalt Silo &amp; Unloading'!$D$49:$M$49,0)),""))))))</calculatedColumnFormula>
    </tableColumn>
    <tableColumn id="9" xr3:uid="{5834240F-9301-445F-A6CF-146CA70991E2}" name="CO (lb/hr)" dataDxfId="61">
      <calculatedColumnFormula>IFERROR(INDEX('Material Handling'!$C$10:$AH$33,MATCH(N$97,Material_Handling[Data],0),MATCH($Q9,'Material Handling'!$C$40:$AH$40,0)), IFERROR(INDEX('Drop Point'!$B$13:$M$36,MATCH(N$97,'Drop Point'!$B$13:$B$37,0),MATCH($Q9,'Drop Point'!$B$41:$M$41,0)),
IFERROR(INDEX('Control - Grain dscf'!$C$11:$N$27,MATCH(N$97,'Control - Grain dscf'!$B$11:$B$27,0),MATCH($Q9,'Control - Grain dscf'!$C$32:$N$32,0)),
IFERROR(INDEX('Control - Alt'!$C$9:$O$27,MATCH(N$97,'Control - Alt'!$B$9:$B$27,0),MATCH($Q9,'Control - Alt'!$C$32:$O$32,0)),
IFERROR(INDEX(Stockpile!$C$10:$M$26,MATCH(N$97,Stockpile!$B$10:$B$26,0),MATCH($Q9,Stockpile!$C$30:$M$30,0)),
IFERROR(INDEX('Asphalt Silo &amp; Unloading'!$D$10:$M$44,MATCH(N$97,'Asphalt Silo &amp; Unloading'!$B$10:$B$44,0),MATCH($Q9,'Asphalt Silo &amp; Unloading'!$D$49:$M$49,0)),""))))))</calculatedColumnFormula>
    </tableColumn>
    <tableColumn id="10" xr3:uid="{1E173B93-5E1D-406C-A755-F95A26B6FC61}" name="CO (tpy)" dataDxfId="60">
      <calculatedColumnFormula>IFERROR(INDEX('Material Handling'!$C$10:$AH$33,MATCH(O$97,Material_Handling[Data],0),MATCH($Q9,'Material Handling'!$C$40:$AH$40,0)), IFERROR(INDEX('Drop Point'!$B$13:$M$36,MATCH(O$97,'Drop Point'!$B$13:$B$37,0),MATCH($Q9,'Drop Point'!$B$41:$M$41,0)),
IFERROR(INDEX('Control - Grain dscf'!$C$11:$N$27,MATCH(O$97,'Control - Grain dscf'!$B$11:$B$27,0),MATCH($Q9,'Control - Grain dscf'!$C$32:$N$32,0)),
IFERROR(INDEX('Control - Alt'!$C$9:$O$27,MATCH(O$97,'Control - Alt'!$B$9:$B$27,0),MATCH($Q9,'Control - Alt'!$C$32:$O$32,0)),
IFERROR(INDEX(Stockpile!$C$10:$M$26,MATCH(O$97,Stockpile!$B$10:$B$26,0),MATCH($Q9,Stockpile!$C$30:$M$30,0)),
IFERROR(INDEX('Asphalt Silo &amp; Unloading'!$D$10:$M$44,MATCH(O$97,'Asphalt Silo &amp; Unloading'!$B$10:$B$44,0),MATCH($Q9,'Asphalt Silo &amp; Unloading'!$D$49:$M$49,0)),""))))))</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E28555B-2532-4970-B2FD-E9B0337A938E}" name="TOC" displayName="TOC" ref="A34:B45" totalsRowShown="0" headerRowDxfId="275" dataDxfId="273" headerRowBorderDxfId="274" tableBorderDxfId="272" totalsRowBorderDxfId="271">
  <autoFilter ref="A34:B45" xr:uid="{0E28555B-2532-4970-B2FD-E9B0337A938E}">
    <filterColumn colId="0" hiddenButton="1"/>
    <filterColumn colId="1" hiddenButton="1"/>
  </autoFilter>
  <tableColumns count="2">
    <tableColumn id="1" xr3:uid="{3A7399B8-A91C-4608-BD38-0B9E8492CF53}" name="Worksheet" dataDxfId="270" dataCellStyle="Hyperlink"/>
    <tableColumn id="2" xr3:uid="{63886A6F-13D8-49EC-BC8F-EB4463CEFE2D}" name="Description" dataDxfId="269"/>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31CC4696-F86E-4940-B92C-61669F08CC6B}" name="Alt_Emis_Summary" displayName="Alt_Emis_Summary" ref="A7:P88" totalsRowShown="0" headerRowDxfId="59" dataDxfId="57" headerRowBorderDxfId="58" tableBorderDxfId="56">
  <autoFilter ref="A7:P88" xr:uid="{31CC4696-F86E-4940-B92C-61669F08CC6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E92E6BB1-4DFB-44F6-BA0D-E6E1F312BC5F}" name="EPN" dataDxfId="55"/>
    <tableColumn id="2" xr3:uid="{62CFE425-936F-42A0-BD71-6980BA6A8F0D}" name="FIN" dataDxfId="54"/>
    <tableColumn id="15" xr3:uid="{37CF595E-5F06-48AA-8BE3-960402508C29}" name="Source Description" dataDxfId="53"/>
    <tableColumn id="3" xr3:uid="{786635D9-44AF-45CE-A15C-89A21623E67B}" name="Rule Number" dataDxfId="52"/>
    <tableColumn id="16" xr3:uid="{7D0C6726-BA6C-4640-AFEE-9E049F8A65DD}" name="Annual Usage (hr/yr)" dataDxfId="51"/>
    <tableColumn id="4" xr3:uid="{6890149B-D3B9-44BA-A599-0B304AC150B4}" name="PM (lb/hr)" dataDxfId="50"/>
    <tableColumn id="5" xr3:uid="{C7C06586-0973-46F7-82EB-13BCC9604C25}" name="PM (tpy)" dataDxfId="49"/>
    <tableColumn id="6" xr3:uid="{7A7B2998-3D65-4508-9419-7DE680292BBA}" name="PM10 (lb/hr)" dataDxfId="48"/>
    <tableColumn id="7" xr3:uid="{5A28AE80-E085-4791-992D-9F41ABCEFDF4}" name="PM10 (tpy)" dataDxfId="47"/>
    <tableColumn id="8" xr3:uid="{703D42CA-8B43-4D5C-8957-E1CFA8EAD42C}" name="PM2.5 (lb/hr)" dataDxfId="46"/>
    <tableColumn id="9" xr3:uid="{E1139270-5C03-48D0-83C4-F2903FF5D7DF}" name="PM2.5 (tpy)" dataDxfId="45"/>
    <tableColumn id="11" xr3:uid="{0944661B-6305-4A5C-A3E6-58E474299310}" name="VOC (lb/hr)" dataDxfId="44"/>
    <tableColumn id="12" xr3:uid="{B898BC0A-F75D-4311-9C8C-A6B2F0464A45}" name="VOC (tpy)" dataDxfId="43"/>
    <tableColumn id="13" xr3:uid="{851D1EC6-3CB3-4E28-8B31-4D39D2F8290C}" name="CO (lb/hr)" dataDxfId="42"/>
    <tableColumn id="14" xr3:uid="{7BA99A1A-A110-4E37-9229-E2538EEDEA30}" name="CO (tpy)" dataDxfId="41"/>
    <tableColumn id="10" xr3:uid="{596B9D8F-6D8B-4EE7-A9D0-404295BB7641}" name="Justification" dataDxfId="40"/>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FAA7E3D-4C49-4E15-8148-F2CCE0ABB3ED}" name="Acronyms" displayName="Acronyms" ref="A4:B18" totalsRowShown="0" headerRowDxfId="39" headerRowBorderDxfId="38" tableBorderDxfId="37" totalsRowBorderDxfId="36" headerRowCellStyle="Section" dataCellStyle="Locked">
  <autoFilter ref="A4:B18" xr:uid="{8FAA7E3D-4C49-4E15-8148-F2CCE0ABB3ED}"/>
  <tableColumns count="2">
    <tableColumn id="1" xr3:uid="{9DDC7FDB-26CF-4645-AD2A-94128293E0BA}" name="Acronym or Abbreviation" dataCellStyle="Locked"/>
    <tableColumn id="2" xr3:uid="{6FCB5F1C-05B0-44B1-BCFA-D670C385B7CD}" name="Term" dataCellStyle="Locked"/>
  </tableColumns>
  <tableStyleInfo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E72E2F2-C441-426C-86D7-076BE2FB794F}" name="Table2" displayName="Table2" ref="A9:B18" totalsRowShown="0" headerRowDxfId="268" dataDxfId="266" headerRowBorderDxfId="267" tableBorderDxfId="265" totalsRowBorderDxfId="264" headerRowCellStyle="Header">
  <autoFilter ref="A9:B18" xr:uid="{0E72E2F2-C441-426C-86D7-076BE2FB794F}">
    <filterColumn colId="0" hiddenButton="1"/>
    <filterColumn colId="1" hiddenButton="1"/>
  </autoFilter>
  <tableColumns count="2">
    <tableColumn id="1" xr3:uid="{812F2336-1C7A-4FD9-8E43-E2BEE57417E7}" name="Rule" dataDxfId="263" dataCellStyle="Locked"/>
    <tableColumn id="2" xr3:uid="{2B061F63-CC13-4688-A3B0-6A9ABCB43956}" name="Enter an &quot;X&quot; to indicate if facilities will be authorized under the listed rule." dataDxfId="262"/>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5538D0A-F9CE-437A-B240-2CE1CC54ABE6}" name="GI_Project_Info" displayName="GI_Project_Info" ref="A20:B30" totalsRowShown="0" headerRowDxfId="261" dataDxfId="259" headerRowBorderDxfId="260" tableBorderDxfId="258" totalsRowBorderDxfId="257" headerRowCellStyle="Header">
  <autoFilter ref="A20:B30" xr:uid="{35538D0A-F9CE-437A-B240-2CE1CC54ABE6}">
    <filterColumn colId="0" hiddenButton="1"/>
    <filterColumn colId="1" hiddenButton="1"/>
  </autoFilter>
  <tableColumns count="2">
    <tableColumn id="1" xr3:uid="{0AD75148-EBCA-4889-8D2E-FB0580078CF7}" name="Requested Information" dataDxfId="256"/>
    <tableColumn id="2" xr3:uid="{BD349B48-FAFD-4ED0-ABE1-18889B3129C7}" name="Response" dataDxfId="255"/>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7C73D89-F131-4F97-B74C-3565F4A7E365}" name="Checklist_106.141" displayName="Checklist_106.141" ref="B23:C29" totalsRowShown="0" headerRowDxfId="254" dataDxfId="252" headerRowBorderDxfId="253" tableBorderDxfId="251" totalsRowBorderDxfId="250" headerRowCellStyle="Header">
  <autoFilter ref="B23:C29" xr:uid="{E7C73D89-F131-4F97-B74C-3565F4A7E365}">
    <filterColumn colId="0" hiddenButton="1"/>
    <filterColumn colId="1" hiddenButton="1"/>
  </autoFilter>
  <tableColumns count="2">
    <tableColumn id="1" xr3:uid="{490AEF13-9185-4A40-9CC7-18BA2A9A5384}" name="Requested Information" dataDxfId="249" dataCellStyle="Locked"/>
    <tableColumn id="2" xr3:uid="{00F3B054-0C69-41FF-A75A-E75CFC47A9AE}" name="Response" dataDxfId="248" dataCellStyle="InputCell"/>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CB46D9E-B4A0-4F4E-B5EB-B7A752439A0F}" name="Checklist_106.144" displayName="Checklist_106.144" ref="B40:C45" totalsRowShown="0" headerRowDxfId="247" dataDxfId="245" headerRowBorderDxfId="246" tableBorderDxfId="244" totalsRowBorderDxfId="243" headerRowCellStyle="Header">
  <autoFilter ref="B40:C45" xr:uid="{BCB46D9E-B4A0-4F4E-B5EB-B7A752439A0F}">
    <filterColumn colId="0" hiddenButton="1"/>
    <filterColumn colId="1" hiddenButton="1"/>
  </autoFilter>
  <tableColumns count="2">
    <tableColumn id="1" xr3:uid="{F3D1097D-8D00-48D9-8A85-C6E31AF4EC80}" name="Requested Information" dataDxfId="242" dataCellStyle="Locked"/>
    <tableColumn id="2" xr3:uid="{F5F86E60-12EA-4621-B123-A90FB285596F}" name="Response" dataDxfId="241"/>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729D0BD-A0A2-4FF9-A8A3-1752892D7675}" name="Checklist_106.145" displayName="Checklist_106.145" ref="B48:C54" totalsRowShown="0" headerRowDxfId="240" dataDxfId="238" headerRowBorderDxfId="239" tableBorderDxfId="237" totalsRowBorderDxfId="236" headerRowCellStyle="Header">
  <autoFilter ref="B48:C54" xr:uid="{9729D0BD-A0A2-4FF9-A8A3-1752892D7675}">
    <filterColumn colId="0" hiddenButton="1"/>
    <filterColumn colId="1" hiddenButton="1"/>
  </autoFilter>
  <tableColumns count="2">
    <tableColumn id="1" xr3:uid="{D69C0C42-5266-4EA2-9D9D-AF9BB9E29690}" name="Requested Information" dataDxfId="235" dataCellStyle="Locked"/>
    <tableColumn id="2" xr3:uid="{B63CEE4E-69B7-42DA-957A-39CFCB9DFC56}" name="Response" dataDxfId="234"/>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A19D879-4385-428B-A714-1266881E571C}" name="Checklist_106.146" displayName="Checklist_106.146" ref="B57:C68" totalsRowShown="0" headerRowDxfId="233" dataDxfId="231" headerRowBorderDxfId="232" tableBorderDxfId="230" totalsRowBorderDxfId="229" headerRowCellStyle="Header">
  <autoFilter ref="B57:C68" xr:uid="{AA19D879-4385-428B-A714-1266881E571C}">
    <filterColumn colId="0" hiddenButton="1"/>
    <filterColumn colId="1" hiddenButton="1"/>
  </autoFilter>
  <tableColumns count="2">
    <tableColumn id="1" xr3:uid="{7839BB79-809E-4C43-8434-35EF9F128C91}" name="Requested Information" dataDxfId="228" dataCellStyle="Locked"/>
    <tableColumn id="2" xr3:uid="{5B480601-9CB3-47E9-996B-E58A7A004BF3}" name="Response" dataDxfId="227"/>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1147E58-850F-41CB-8204-A3BA9EB633F2}" name="Checklist_106.148" displayName="Checklist_106.148" ref="B71:C76" totalsRowShown="0" headerRowDxfId="226" dataDxfId="225" tableBorderDxfId="224">
  <autoFilter ref="B71:C76" xr:uid="{11147E58-850F-41CB-8204-A3BA9EB633F2}">
    <filterColumn colId="0" hiddenButton="1"/>
    <filterColumn colId="1" hiddenButton="1"/>
  </autoFilter>
  <tableColumns count="2">
    <tableColumn id="1" xr3:uid="{741E149E-AA05-4E37-9AF0-EAED4B49799C}" name="Requested Information" dataDxfId="223"/>
    <tableColumn id="2" xr3:uid="{5B8BFB28-9CA7-4A40-A386-639EF47F637A}" name="Response" dataDxfId="222" dataCellStyle="InputCell"/>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1" dT="2022-02-14T21:21:45.85" personId="{FA0E6215-7A3E-4787-AED2-DA1730B65F93}" id="{7DC7D199-08F2-4C81-A165-D8E63CE5BD07}">
    <text>could add glossary if needed</text>
  </threadedComment>
</ThreadedComments>
</file>

<file path=xl/worksheets/_rels/sheet1.xml.rels><?xml version="1.0" encoding="UTF-8" standalone="yes"?>
<Relationships xmlns="http://schemas.openxmlformats.org/package/2006/relationships"><Relationship Id="rId8" Type="http://schemas.openxmlformats.org/officeDocument/2006/relationships/hyperlink" Target="https://texreg.sos.state.tx.us/public/readtac$ext.TacPage?sl=R&amp;app=9&amp;p_dir=&amp;p_rloc=&amp;p_tloc=&amp;p_ploc=&amp;pg=1&amp;p_tac=&amp;ti=30&amp;pt=1&amp;ch=106&amp;rl=148" TargetMode="External"/><Relationship Id="rId13" Type="http://schemas.openxmlformats.org/officeDocument/2006/relationships/table" Target="../tables/table1.xml"/><Relationship Id="rId3" Type="http://schemas.openxmlformats.org/officeDocument/2006/relationships/hyperlink" Target="https://texreg.sos.state.tx.us/public/readtac%24ext.TacPage?sl=R&amp;app=9&amp;p_dir=&amp;p_rloc=&amp;p_tloc=&amp;p_ploc=&amp;pg=1&amp;p_tac=&amp;ti=30&amp;pt=1&amp;ch=106&amp;rl=141" TargetMode="External"/><Relationship Id="rId7" Type="http://schemas.openxmlformats.org/officeDocument/2006/relationships/hyperlink" Target="https://texreg.sos.state.tx.us/public/readtac$ext.TacPage?sl=R&amp;app=9&amp;p_dir=&amp;p_rloc=&amp;p_tloc=&amp;p_ploc=&amp;pg=1&amp;p_tac=&amp;ti=30&amp;pt=1&amp;ch=106&amp;rl=146" TargetMode="External"/><Relationship Id="rId12" Type="http://schemas.openxmlformats.org/officeDocument/2006/relationships/printerSettings" Target="../printerSettings/printerSettings1.bin"/><Relationship Id="rId2" Type="http://schemas.openxmlformats.org/officeDocument/2006/relationships/hyperlink" Target="https://www.tceq.texas.gov/permitting/air/confidential.html" TargetMode="External"/><Relationship Id="rId1" Type="http://schemas.openxmlformats.org/officeDocument/2006/relationships/hyperlink" Target="https://www3.tceq.texas.gov/steers/" TargetMode="External"/><Relationship Id="rId6" Type="http://schemas.openxmlformats.org/officeDocument/2006/relationships/hyperlink" Target="https://texreg.sos.state.tx.us/public/readtac$ext.TacPage?sl=R&amp;app=9&amp;p_dir=&amp;p_rloc=&amp;p_tloc=&amp;p_ploc=&amp;pg=1&amp;p_tac=&amp;ti=30&amp;pt=1&amp;ch=106&amp;rl=145" TargetMode="External"/><Relationship Id="rId11" Type="http://schemas.openxmlformats.org/officeDocument/2006/relationships/hyperlink" Target="https://www.tceq.texas.gov/permitting/air/permitbyrule/subchapter-e" TargetMode="External"/><Relationship Id="rId5" Type="http://schemas.openxmlformats.org/officeDocument/2006/relationships/hyperlink" Target="https://texreg.sos.state.tx.us/public/readtac$ext.TacPage?sl=R&amp;app=9&amp;p_dir=&amp;p_rloc=&amp;p_tloc=&amp;p_ploc=&amp;pg=1&amp;p_tac=&amp;ti=30&amp;pt=1&amp;ch=106&amp;rl=144" TargetMode="External"/><Relationship Id="rId10" Type="http://schemas.openxmlformats.org/officeDocument/2006/relationships/hyperlink" Target="https://texreg.sos.state.tx.us/public/readtac$ext.TacPage?sl=R&amp;app=9&amp;p_dir=&amp;p_rloc=&amp;p_tloc=&amp;p_ploc=&amp;pg=1&amp;p_tac=&amp;ti=30&amp;pt=1&amp;ch=106&amp;rl=150" TargetMode="External"/><Relationship Id="rId4" Type="http://schemas.openxmlformats.org/officeDocument/2006/relationships/hyperlink" Target="https://texreg.sos.state.tx.us/public/readtac$ext.TacPage?sl=R&amp;app=9&amp;p_dir=&amp;p_rloc=&amp;p_tloc=&amp;p_ploc=&amp;pg=1&amp;p_tac=&amp;ti=30&amp;pt=1&amp;ch=106&amp;rl=143" TargetMode="External"/><Relationship Id="rId9" Type="http://schemas.openxmlformats.org/officeDocument/2006/relationships/hyperlink" Target="https://texreg.sos.state.tx.us/public/readtac$ext.TacPage?sl=R&amp;app=9&amp;p_dir=&amp;p_rloc=&amp;p_tloc=&amp;p_ploc=&amp;pg=1&amp;p_tac=&amp;ti=30&amp;pt=1&amp;ch=106&amp;rl=149" TargetMode="External"/><Relationship Id="rId14" Type="http://schemas.openxmlformats.org/officeDocument/2006/relationships/table" Target="../tables/table2.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2.bin"/><Relationship Id="rId1" Type="http://schemas.openxmlformats.org/officeDocument/2006/relationships/hyperlink" Target="https://www.tceq.texas.gov/permitting/air/guidance/newsourcereview/fertilizer/nsr_fac_bulkfert.html"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4.bin"/><Relationship Id="rId1" Type="http://schemas.openxmlformats.org/officeDocument/2006/relationships/hyperlink" Target="https://www3.epa.gov/ttnchie1/ap42/ch11/final/c11s12.pdf" TargetMode="External"/></Relationships>
</file>

<file path=xl/worksheets/_rels/sheet17.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vmlDrawing" Target="../drawings/vmlDrawing1.vml"/><Relationship Id="rId1" Type="http://schemas.openxmlformats.org/officeDocument/2006/relationships/printerSettings" Target="../printerSettings/printerSettings15.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federalregister.gov/documents/2022/10/07/2022-20458/determinations-of-attainment-by-the-attainment-date-extensions-of-the-attainment-date-and" TargetMode="External"/><Relationship Id="rId1" Type="http://schemas.openxmlformats.org/officeDocument/2006/relationships/hyperlink" Target="https://www.federalregister.gov/documents/2022/10/07/2022-20460/determinations-of-attainment-by-the-attainment-date-extensions-of-the-attainment-date-and" TargetMode="External"/></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printerSettings" Target="../printerSettings/printerSettings2.bin"/><Relationship Id="rId1" Type="http://schemas.openxmlformats.org/officeDocument/2006/relationships/hyperlink" Target="https://www.tceq.texas.gov/permitting/air/apd-steers.html" TargetMode="External"/><Relationship Id="rId4" Type="http://schemas.openxmlformats.org/officeDocument/2006/relationships/table" Target="../tables/table4.xml"/></Relationships>
</file>

<file path=xl/worksheets/_rels/sheet3.xml.rels><?xml version="1.0" encoding="UTF-8" standalone="yes"?>
<Relationships xmlns="http://schemas.openxmlformats.org/package/2006/relationships"><Relationship Id="rId8" Type="http://schemas.openxmlformats.org/officeDocument/2006/relationships/table" Target="../tables/table8.xml"/><Relationship Id="rId3" Type="http://schemas.openxmlformats.org/officeDocument/2006/relationships/hyperlink" Target="https://www.tceq.texas.gov/permitting/air/guidance/authorize.html" TargetMode="External"/><Relationship Id="rId7" Type="http://schemas.openxmlformats.org/officeDocument/2006/relationships/table" Target="../tables/table7.xml"/><Relationship Id="rId12" Type="http://schemas.openxmlformats.org/officeDocument/2006/relationships/table" Target="../tables/table12.xml"/><Relationship Id="rId2" Type="http://schemas.openxmlformats.org/officeDocument/2006/relationships/hyperlink" Target="https://www.tceq.texas.gov/permitting/air/guidance/authorize.html" TargetMode="External"/><Relationship Id="rId1" Type="http://schemas.openxmlformats.org/officeDocument/2006/relationships/hyperlink" Target="https://www.tceq.texas.gov/assistance" TargetMode="External"/><Relationship Id="rId6" Type="http://schemas.openxmlformats.org/officeDocument/2006/relationships/table" Target="../tables/table6.xml"/><Relationship Id="rId11" Type="http://schemas.openxmlformats.org/officeDocument/2006/relationships/table" Target="../tables/table11.xml"/><Relationship Id="rId5" Type="http://schemas.openxmlformats.org/officeDocument/2006/relationships/table" Target="../tables/table5.xml"/><Relationship Id="rId10" Type="http://schemas.openxmlformats.org/officeDocument/2006/relationships/table" Target="../tables/table10.xml"/><Relationship Id="rId4" Type="http://schemas.openxmlformats.org/officeDocument/2006/relationships/printerSettings" Target="../printerSettings/printerSettings3.bin"/><Relationship Id="rId9" Type="http://schemas.openxmlformats.org/officeDocument/2006/relationships/table" Target="../tables/table9.xml"/></Relationships>
</file>

<file path=xl/worksheets/_rels/sheet4.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rinterSettings" Target="../printerSettings/printerSettings4.bin"/><Relationship Id="rId1" Type="http://schemas.openxmlformats.org/officeDocument/2006/relationships/hyperlink" Target="https://www3.epa.gov/ttnchie1/ap42/ch11/final/c11s1902.pdf" TargetMode="External"/></Relationships>
</file>

<file path=xl/worksheets/_rels/sheet5.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printerSettings" Target="../printerSettings/printerSettings5.bin"/><Relationship Id="rId1" Type="http://schemas.openxmlformats.org/officeDocument/2006/relationships/hyperlink" Target="https://www.epa.gov/sites/default/files/2020-10/documents/13.2.4_aggregate_handling_and_storage_piles.pdf"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tceq.texas.gov/permitting/air/nav/air_reftablenewsource.html" TargetMode="External"/><Relationship Id="rId2" Type="http://schemas.openxmlformats.org/officeDocument/2006/relationships/hyperlink" Target="https://www.tceq.texas.gov/permitting/air/forms/newsourcereview/tables/nsr_table3.html" TargetMode="External"/><Relationship Id="rId1" Type="http://schemas.openxmlformats.org/officeDocument/2006/relationships/hyperlink" Target="https://www.tceq.texas.gov/assets/public/permitting/air/Guidance/NewSourceReview/emiss_calc_bulkfert.pdf" TargetMode="External"/><Relationship Id="rId6" Type="http://schemas.openxmlformats.org/officeDocument/2006/relationships/table" Target="../tables/table15.xml"/><Relationship Id="rId5" Type="http://schemas.openxmlformats.org/officeDocument/2006/relationships/printerSettings" Target="../printerSettings/printerSettings6.bin"/><Relationship Id="rId4" Type="http://schemas.openxmlformats.org/officeDocument/2006/relationships/hyperlink" Target="https://www.tceq.texas.gov/permitting/air/guidance/newsourcereview/fertilizer/nsr_fac_bulkfert.html"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tceq.texas.gov/permitting/air/nav/air_reftablenewsource.html" TargetMode="External"/><Relationship Id="rId1" Type="http://schemas.openxmlformats.org/officeDocument/2006/relationships/hyperlink" Target="https://www.tceq.texas.gov/permitting/air/forms/newsourcereview/tables/nsr_table3.html" TargetMode="External"/><Relationship Id="rId4" Type="http://schemas.openxmlformats.org/officeDocument/2006/relationships/table" Target="../tables/table16.xml"/></Relationships>
</file>

<file path=xl/worksheets/_rels/sheet8.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printerSettings" Target="../printerSettings/printerSettings8.bin"/><Relationship Id="rId1" Type="http://schemas.openxmlformats.org/officeDocument/2006/relationships/hyperlink" Target="https://www.epa.gov/sites/default/files/2020-10/documents/13.2.4_aggregate_handling_and_storage_piles.pdf" TargetMode="External"/></Relationships>
</file>

<file path=xl/worksheets/_rels/sheet9.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printerSettings" Target="../printerSettings/printerSettings9.bin"/><Relationship Id="rId1" Type="http://schemas.openxmlformats.org/officeDocument/2006/relationships/hyperlink" Target="https://www3.epa.gov/ttnchie1/ap42/ch11/final/c11s01.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7FE02-C544-4B26-8750-3D5F49AB31FB}">
  <sheetPr codeName="Sheet1">
    <tabColor rgb="FFDCDCFF"/>
  </sheetPr>
  <dimension ref="A1:C49"/>
  <sheetViews>
    <sheetView showGridLines="0" tabSelected="1" workbookViewId="0">
      <selection sqref="A1:B1"/>
    </sheetView>
  </sheetViews>
  <sheetFormatPr defaultColWidth="0" defaultRowHeight="14.25" zeroHeight="1"/>
  <cols>
    <col min="1" max="1" width="35.7109375" style="131" customWidth="1"/>
    <col min="2" max="2" width="80.7109375" style="131" customWidth="1"/>
    <col min="3" max="3" width="9.140625" style="131" customWidth="1"/>
    <col min="4" max="16384" width="9.140625" style="131" hidden="1"/>
  </cols>
  <sheetData>
    <row r="1" spans="1:2" ht="18">
      <c r="A1" s="622" t="s">
        <v>1087</v>
      </c>
      <c r="B1" s="622"/>
    </row>
    <row r="2" spans="1:2" ht="15.75">
      <c r="A2" s="627" t="s">
        <v>979</v>
      </c>
      <c r="B2" s="627"/>
    </row>
    <row r="3" spans="1:2" ht="15.75">
      <c r="A3" s="623" t="s">
        <v>0</v>
      </c>
      <c r="B3" s="623"/>
    </row>
    <row r="4" spans="1:2" ht="15">
      <c r="A4" s="625" t="s">
        <v>1</v>
      </c>
      <c r="B4" s="626"/>
    </row>
    <row r="5" spans="1:2" ht="16.5" thickBot="1">
      <c r="A5" s="623" t="s">
        <v>1098</v>
      </c>
      <c r="B5" s="623"/>
    </row>
    <row r="6" spans="1:2" ht="15" customHeight="1">
      <c r="A6" s="397" t="s">
        <v>2</v>
      </c>
      <c r="B6" s="398"/>
    </row>
    <row r="7" spans="1:2" ht="15" customHeight="1" thickBot="1">
      <c r="A7" s="400" t="s">
        <v>3</v>
      </c>
      <c r="B7" s="401"/>
    </row>
    <row r="8" spans="1:2" ht="15" thickBot="1">
      <c r="A8" s="170"/>
    </row>
    <row r="9" spans="1:2" ht="15.75">
      <c r="A9" s="624" t="s">
        <v>4</v>
      </c>
      <c r="B9" s="624"/>
    </row>
    <row r="10" spans="1:2" ht="15">
      <c r="A10" s="600" t="s">
        <v>5</v>
      </c>
      <c r="B10" s="601" t="s">
        <v>6</v>
      </c>
    </row>
    <row r="11" spans="1:2">
      <c r="A11" s="602" t="s">
        <v>7</v>
      </c>
      <c r="B11" s="603" t="s">
        <v>8</v>
      </c>
    </row>
    <row r="12" spans="1:2">
      <c r="A12" s="602" t="s">
        <v>9</v>
      </c>
      <c r="B12" s="603" t="s">
        <v>10</v>
      </c>
    </row>
    <row r="13" spans="1:2">
      <c r="A13" s="602" t="s">
        <v>11</v>
      </c>
      <c r="B13" s="603" t="s">
        <v>12</v>
      </c>
    </row>
    <row r="14" spans="1:2">
      <c r="A14" s="602" t="s">
        <v>13</v>
      </c>
      <c r="B14" s="603" t="s">
        <v>942</v>
      </c>
    </row>
    <row r="15" spans="1:2">
      <c r="A15" s="602" t="s">
        <v>14</v>
      </c>
      <c r="B15" s="603" t="s">
        <v>943</v>
      </c>
    </row>
    <row r="16" spans="1:2">
      <c r="A16" s="602" t="s">
        <v>15</v>
      </c>
      <c r="B16" s="603" t="s">
        <v>945</v>
      </c>
    </row>
    <row r="17" spans="1:2">
      <c r="A17" s="602" t="s">
        <v>16</v>
      </c>
      <c r="B17" s="603" t="s">
        <v>944</v>
      </c>
    </row>
    <row r="18" spans="1:2" ht="15" thickBot="1">
      <c r="A18" s="604" t="s">
        <v>17</v>
      </c>
      <c r="B18" s="605" t="s">
        <v>18</v>
      </c>
    </row>
    <row r="19" spans="1:2" ht="15" thickBot="1"/>
    <row r="20" spans="1:2" ht="16.5" thickBot="1">
      <c r="A20" s="630" t="s">
        <v>19</v>
      </c>
      <c r="B20" s="630"/>
    </row>
    <row r="21" spans="1:2" ht="29.25" customHeight="1">
      <c r="A21" s="633" t="s">
        <v>1101</v>
      </c>
      <c r="B21" s="634"/>
    </row>
    <row r="22" spans="1:2" ht="30" customHeight="1">
      <c r="A22" s="637" t="s">
        <v>983</v>
      </c>
      <c r="B22" s="636"/>
    </row>
    <row r="23" spans="1:2" ht="14.25" customHeight="1">
      <c r="A23" s="628" t="s">
        <v>1045</v>
      </c>
      <c r="B23" s="629"/>
    </row>
    <row r="24" spans="1:2" ht="104.25" customHeight="1" thickBot="1">
      <c r="A24" s="638" t="s">
        <v>1091</v>
      </c>
      <c r="B24" s="639"/>
    </row>
    <row r="25" spans="1:2" ht="15" thickBot="1">
      <c r="A25" s="170"/>
    </row>
    <row r="26" spans="1:2" ht="16.5" thickBot="1">
      <c r="A26" s="630" t="s">
        <v>20</v>
      </c>
      <c r="B26" s="630"/>
    </row>
    <row r="27" spans="1:2" ht="30" customHeight="1">
      <c r="A27" s="633" t="s">
        <v>21</v>
      </c>
      <c r="B27" s="634"/>
    </row>
    <row r="28" spans="1:2">
      <c r="A28" s="628" t="s">
        <v>22</v>
      </c>
      <c r="B28" s="629"/>
    </row>
    <row r="29" spans="1:2" ht="75" customHeight="1">
      <c r="A29" s="635" t="s">
        <v>1051</v>
      </c>
      <c r="B29" s="636"/>
    </row>
    <row r="30" spans="1:2" ht="15" thickBot="1">
      <c r="A30" s="642" t="s">
        <v>23</v>
      </c>
      <c r="B30" s="643"/>
    </row>
    <row r="31" spans="1:2" ht="15" thickBot="1"/>
    <row r="32" spans="1:2" ht="16.5" thickBot="1">
      <c r="A32" s="630" t="s">
        <v>24</v>
      </c>
      <c r="B32" s="630"/>
    </row>
    <row r="33" spans="1:3" ht="15" thickBot="1">
      <c r="A33" s="640" t="s">
        <v>946</v>
      </c>
      <c r="B33" s="641"/>
    </row>
    <row r="34" spans="1:3" ht="15">
      <c r="A34" s="592" t="s">
        <v>972</v>
      </c>
      <c r="B34" s="593" t="s">
        <v>891</v>
      </c>
    </row>
    <row r="35" spans="1:3" ht="32.1" customHeight="1">
      <c r="A35" s="594" t="str">
        <f>HYPERLINK("#Cover","Cover")</f>
        <v>Cover</v>
      </c>
      <c r="B35" s="595" t="s">
        <v>1072</v>
      </c>
    </row>
    <row r="36" spans="1:3" ht="32.1" customHeight="1">
      <c r="A36" s="594" t="str">
        <f>HYPERLINK("#General",General)</f>
        <v>General Information</v>
      </c>
      <c r="B36" s="595" t="s">
        <v>1076</v>
      </c>
      <c r="C36" s="170"/>
    </row>
    <row r="37" spans="1:3" ht="32.1" customHeight="1">
      <c r="A37" s="594" t="str">
        <f>HYPERLINK("#Checklist",Checklist)</f>
        <v>Checklist</v>
      </c>
      <c r="B37" s="595" t="s">
        <v>1079</v>
      </c>
      <c r="C37" s="170"/>
    </row>
    <row r="38" spans="1:3" ht="32.1" customHeight="1">
      <c r="A38" s="594" t="str">
        <f>HYPERLINK("#Material_Handing","Material Handling")</f>
        <v>Material Handling</v>
      </c>
      <c r="B38" s="595" t="s">
        <v>1073</v>
      </c>
      <c r="C38" s="170"/>
    </row>
    <row r="39" spans="1:3" ht="78.75" customHeight="1">
      <c r="A39" s="594" t="str">
        <f>HYPERLINK("#ii.drop","Drop Point")</f>
        <v>Drop Point</v>
      </c>
      <c r="B39" s="596" t="s">
        <v>1008</v>
      </c>
      <c r="C39" s="170"/>
    </row>
    <row r="40" spans="1:3" ht="45" customHeight="1">
      <c r="A40" s="594" t="str">
        <f>HYPERLINK("#iii.control_dscf","Control - Grain dscf")</f>
        <v>Control - Grain dscf</v>
      </c>
      <c r="B40" s="596" t="s">
        <v>984</v>
      </c>
      <c r="C40" s="170"/>
    </row>
    <row r="41" spans="1:3" ht="45" customHeight="1">
      <c r="A41" s="594" t="str">
        <f>HYPERLINK("#iv.control_alt","Control - Alt")</f>
        <v>Control - Alt</v>
      </c>
      <c r="B41" s="596" t="s">
        <v>1065</v>
      </c>
      <c r="C41" s="170"/>
    </row>
    <row r="42" spans="1:3" ht="32.1" customHeight="1">
      <c r="A42" s="594" t="str">
        <f>HYPERLINK("#v.Stockpile","Stockpile")</f>
        <v>Stockpile</v>
      </c>
      <c r="B42" s="595" t="s">
        <v>1074</v>
      </c>
      <c r="C42" s="170"/>
    </row>
    <row r="43" spans="1:3" ht="32.1" customHeight="1">
      <c r="A43" s="594" t="str">
        <f>HYPERLINK("#vi.Silo","Asphalt Silo &amp; Truck Loadout")</f>
        <v>Asphalt Silo &amp; Truck Loadout</v>
      </c>
      <c r="B43" s="595" t="s">
        <v>1075</v>
      </c>
      <c r="C43" s="170"/>
    </row>
    <row r="44" spans="1:3" ht="32.1" customHeight="1">
      <c r="A44" s="594" t="str">
        <f>HYPERLINK("#Emission_Summary","Emission Summary Table")</f>
        <v>Emission Summary Table</v>
      </c>
      <c r="B44" s="595" t="s">
        <v>1071</v>
      </c>
    </row>
    <row r="45" spans="1:3" ht="32.1" customHeight="1">
      <c r="A45" s="597" t="str">
        <f>HYPERLINK("#Alt_Emission_Summary","Alternative Emission Summary Table")</f>
        <v>Alternative Emission Summary Table</v>
      </c>
      <c r="B45" s="598" t="s">
        <v>1070</v>
      </c>
    </row>
    <row r="46" spans="1:3" ht="32.1" customHeight="1" thickBot="1">
      <c r="A46" s="599" t="str">
        <f>HYPERLINK("#WKB_GUIDE","Workbook Guidance")</f>
        <v>Workbook Guidance</v>
      </c>
      <c r="B46" s="535" t="s">
        <v>1069</v>
      </c>
    </row>
    <row r="47" spans="1:3" ht="8.1" customHeight="1"/>
    <row r="48" spans="1:3" ht="17.100000000000001" customHeight="1">
      <c r="A48" s="631" t="str">
        <f>HYPERLINK("#General","End of sheet. Click here to move to the next sheet.")</f>
        <v>End of sheet. Click here to move to the next sheet.</v>
      </c>
      <c r="B48" s="632"/>
    </row>
    <row r="49" ht="8.1" customHeight="1"/>
  </sheetData>
  <sheetProtection algorithmName="SHA-512" hashValue="LJ8VAJySQSG6CMUCzqXmZhBDQBTOPmpEB36BR2olsbjtSDNNBAahr8XJwvZTkcGEjmA2NPW6ny6j9HNrz0XMgw==" saltValue="VuVMSjuA1yxn+/BWO/qypA==" spinCount="100000" sheet="1" objects="1" scenarios="1" formatColumns="0" formatRows="0" autoFilter="0"/>
  <mergeCells count="19">
    <mergeCell ref="A28:B28"/>
    <mergeCell ref="A20:B20"/>
    <mergeCell ref="A26:B26"/>
    <mergeCell ref="A32:B32"/>
    <mergeCell ref="A48:B48"/>
    <mergeCell ref="A21:B21"/>
    <mergeCell ref="A27:B27"/>
    <mergeCell ref="A29:B29"/>
    <mergeCell ref="A22:B22"/>
    <mergeCell ref="A24:B24"/>
    <mergeCell ref="A33:B33"/>
    <mergeCell ref="A30:B30"/>
    <mergeCell ref="A23:B23"/>
    <mergeCell ref="A1:B1"/>
    <mergeCell ref="A3:B3"/>
    <mergeCell ref="A5:B5"/>
    <mergeCell ref="A9:B9"/>
    <mergeCell ref="A4:B4"/>
    <mergeCell ref="A2:B2"/>
  </mergeCells>
  <hyperlinks>
    <hyperlink ref="A28" r:id="rId1" xr:uid="{4E204A76-C6C9-45DB-B944-52B6960C0FF6}"/>
    <hyperlink ref="A30" r:id="rId2" xr:uid="{EDE42FAC-F239-41F8-8DAC-0257ACC49C00}"/>
    <hyperlink ref="A11" r:id="rId3" tooltip="Click here to go to the rule language for 30 TAC § 106.141." xr:uid="{2A55899F-CCA1-48B5-BBB6-20C05082ABA7}"/>
    <hyperlink ref="A12" r:id="rId4" tooltip="Click here to go to the rule language for 30 TAC § 106.143." xr:uid="{D21757C4-1C66-47F0-B07E-88CA6649B1EE}"/>
    <hyperlink ref="A13" r:id="rId5" tooltip="Click here to go to the rule language for 30 TAC § 106.144." xr:uid="{F955921E-125C-4F25-98F2-4066948115BB}"/>
    <hyperlink ref="A14" r:id="rId6" tooltip="Click here to go to the rule language for 30 TAC § 106.145." xr:uid="{08C05B7A-F14B-4E17-BA94-E620EFEA6D9D}"/>
    <hyperlink ref="A15" r:id="rId7" tooltip="Click here to go to the rule language for 30 TAC § 106.146." xr:uid="{BCC0E5CF-77E1-47EB-AF70-AFAD04EC753C}"/>
    <hyperlink ref="A16" r:id="rId8" tooltip="Click here to go to the rule language for 30 TAC § 106.148." xr:uid="{D258F61D-B067-4EDB-9036-51C9D809E17E}"/>
    <hyperlink ref="A17" r:id="rId9" tooltip="Click here to go to the rule language for 30 TAC § 106.149." xr:uid="{DD3B9437-4F8B-4AA2-8B80-7F2322B9C612}"/>
    <hyperlink ref="A18" r:id="rId10" tooltip="Click here to go to the rule language for 30 TAC § 106.150." xr:uid="{B602DE43-6018-4F66-8D2A-70257CCA36EC}"/>
    <hyperlink ref="A23" r:id="rId11" xr:uid="{239AE44F-696C-43B1-ACC5-E4F28348502E}"/>
  </hyperlinks>
  <pageMargins left="0.7" right="0.7" top="0.75" bottom="0.75" header="0.3" footer="0.3"/>
  <pageSetup orientation="portrait" r:id="rId12"/>
  <tableParts count="2">
    <tablePart r:id="rId13"/>
    <tablePart r:id="rId1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DE01F-6B21-4E12-8B54-CCD782309381}">
  <sheetPr codeName="Sheet10">
    <tabColor rgb="FFFFFFCC"/>
  </sheetPr>
  <dimension ref="A1:Q98"/>
  <sheetViews>
    <sheetView showGridLines="0" workbookViewId="0">
      <selection sqref="A1:O1"/>
    </sheetView>
  </sheetViews>
  <sheetFormatPr defaultColWidth="0" defaultRowHeight="14.25" zeroHeight="1"/>
  <cols>
    <col min="1" max="2" width="10.7109375" style="131" customWidth="1"/>
    <col min="3" max="3" width="16.42578125" style="131" customWidth="1"/>
    <col min="4" max="4" width="9.7109375" style="131" customWidth="1"/>
    <col min="5" max="5" width="13.7109375" style="131" customWidth="1"/>
    <col min="6" max="7" width="8.7109375" style="131" customWidth="1"/>
    <col min="8" max="15" width="10.5703125" style="131" customWidth="1"/>
    <col min="16" max="16" width="2.7109375" style="131" customWidth="1"/>
    <col min="17" max="17" width="0" style="131" hidden="1" customWidth="1"/>
    <col min="18" max="16384" width="9.140625" style="131" hidden="1"/>
  </cols>
  <sheetData>
    <row r="1" spans="1:17" ht="18.75" thickBot="1">
      <c r="A1" s="720" t="s">
        <v>941</v>
      </c>
      <c r="B1" s="721"/>
      <c r="C1" s="721"/>
      <c r="D1" s="721"/>
      <c r="E1" s="721"/>
      <c r="F1" s="721"/>
      <c r="G1" s="721"/>
      <c r="H1" s="721"/>
      <c r="I1" s="721"/>
      <c r="J1" s="721"/>
      <c r="K1" s="721"/>
      <c r="L1" s="721"/>
      <c r="M1" s="721"/>
      <c r="N1" s="721"/>
      <c r="O1" s="722"/>
      <c r="Q1" s="131" t="s">
        <v>923</v>
      </c>
    </row>
    <row r="2" spans="1:17">
      <c r="A2" s="709" t="s">
        <v>1092</v>
      </c>
      <c r="B2" s="710"/>
      <c r="C2" s="710"/>
      <c r="D2" s="710"/>
      <c r="E2" s="710"/>
      <c r="F2" s="710"/>
      <c r="G2" s="710"/>
      <c r="H2" s="710"/>
      <c r="I2" s="710"/>
      <c r="J2" s="710"/>
      <c r="K2" s="710"/>
      <c r="L2" s="710"/>
      <c r="M2" s="710"/>
      <c r="N2" s="710"/>
      <c r="O2" s="723"/>
    </row>
    <row r="3" spans="1:17">
      <c r="A3" s="679"/>
      <c r="B3" s="724"/>
      <c r="C3" s="724"/>
      <c r="D3" s="724"/>
      <c r="E3" s="724"/>
      <c r="F3" s="724"/>
      <c r="G3" s="724"/>
      <c r="H3" s="724"/>
      <c r="I3" s="724"/>
      <c r="J3" s="724"/>
      <c r="K3" s="724"/>
      <c r="L3" s="724"/>
      <c r="M3" s="724"/>
      <c r="N3" s="724"/>
      <c r="O3" s="725"/>
    </row>
    <row r="4" spans="1:17" ht="88.5" customHeight="1" thickBot="1">
      <c r="A4" s="696"/>
      <c r="B4" s="726"/>
      <c r="C4" s="726"/>
      <c r="D4" s="726"/>
      <c r="E4" s="726"/>
      <c r="F4" s="726"/>
      <c r="G4" s="726"/>
      <c r="H4" s="726"/>
      <c r="I4" s="726"/>
      <c r="J4" s="726"/>
      <c r="K4" s="726"/>
      <c r="L4" s="726"/>
      <c r="M4" s="726"/>
      <c r="N4" s="726"/>
      <c r="O4" s="639"/>
    </row>
    <row r="5" spans="1:17">
      <c r="A5" s="369"/>
      <c r="B5" s="369"/>
      <c r="C5" s="369"/>
      <c r="D5" s="369"/>
      <c r="E5" s="369"/>
      <c r="F5" s="369"/>
      <c r="G5" s="369"/>
      <c r="H5" s="369"/>
      <c r="I5" s="369"/>
      <c r="J5" s="369"/>
      <c r="K5" s="369"/>
      <c r="L5" s="369"/>
      <c r="M5" s="369"/>
      <c r="N5" s="369"/>
      <c r="O5" s="369"/>
    </row>
    <row r="6" spans="1:17">
      <c r="A6" s="250"/>
      <c r="B6" s="386" t="s">
        <v>1055</v>
      </c>
      <c r="C6" s="369"/>
      <c r="D6" s="369"/>
      <c r="E6" s="369"/>
      <c r="F6" s="369"/>
      <c r="G6" s="369"/>
      <c r="H6" s="369"/>
      <c r="I6" s="369"/>
      <c r="J6" s="369"/>
      <c r="K6" s="369"/>
      <c r="L6" s="369"/>
      <c r="M6" s="369"/>
      <c r="N6" s="369"/>
      <c r="O6" s="369"/>
    </row>
    <row r="7" spans="1:17" ht="15" thickBot="1">
      <c r="Q7" s="131" t="s">
        <v>925</v>
      </c>
    </row>
    <row r="8" spans="1:17" ht="35.25" customHeight="1" thickBot="1">
      <c r="A8" s="203" t="s">
        <v>354</v>
      </c>
      <c r="B8" s="204" t="s">
        <v>482</v>
      </c>
      <c r="C8" s="204" t="s">
        <v>1054</v>
      </c>
      <c r="D8" s="204" t="s">
        <v>981</v>
      </c>
      <c r="E8" s="204" t="s">
        <v>1095</v>
      </c>
      <c r="F8" s="204" t="s">
        <v>39</v>
      </c>
      <c r="G8" s="204" t="s">
        <v>924</v>
      </c>
      <c r="H8" s="204" t="s">
        <v>864</v>
      </c>
      <c r="I8" s="204" t="s">
        <v>865</v>
      </c>
      <c r="J8" s="204" t="s">
        <v>866</v>
      </c>
      <c r="K8" s="204" t="s">
        <v>867</v>
      </c>
      <c r="L8" s="204" t="s">
        <v>919</v>
      </c>
      <c r="M8" s="204" t="s">
        <v>920</v>
      </c>
      <c r="N8" s="204" t="s">
        <v>921</v>
      </c>
      <c r="O8" s="205" t="s">
        <v>922</v>
      </c>
      <c r="Q8" s="131" t="s">
        <v>506</v>
      </c>
    </row>
    <row r="9" spans="1:17" ht="20.100000000000001" customHeight="1">
      <c r="A9" s="413" t="str">
        <f>IFERROR(INDEX('Material Handling'!$C$10:$AH$33,MATCH(A$97,Material_Handling[Data],0),MATCH($Q9,'Material Handling'!$C$40:$AH$40,0)), IFERROR(INDEX('Drop Point'!$B$13:$M$36,MATCH(A$97,'Drop Point'!$B$13:$B$37,0),MATCH($Q9,'Drop Point'!$B$41:$M$41,0)),
IFERROR(INDEX('Control - Grain dscf'!$C$11:$N$27,MATCH(A$97,'Control - Grain dscf'!$B$11:$B$27,0),MATCH($Q9,'Control - Grain dscf'!$C$32:$N$32,0)),
IFERROR(INDEX('Control - Alt'!$C$9:$O$27,MATCH(A$97,'Control - Alt'!$B$9:$B$27,0),MATCH($Q9,'Control - Alt'!$C$32:$O$32,0)),
IFERROR(INDEX(Stockpile!$C$10:$M$26,MATCH(A$97,Stockpile!$B$10:$B$26,0),MATCH($Q9,Stockpile!$C$30:$M$30,0)),
IFERROR(INDEX('Asphalt Silo &amp; Unloading'!$D$10:$M$44,MATCH(A$97,'Asphalt Silo &amp; Unloading'!$B$10:$B$44,0),MATCH($Q9,'Asphalt Silo &amp; Unloading'!$D$49:$M$49,0)),""))))))</f>
        <v/>
      </c>
      <c r="B9" s="137" t="str">
        <f>IFERROR(INDEX('Material Handling'!$C$10:$AH$33,MATCH(B$97,Material_Handling[Data],0),MATCH($Q9,'Material Handling'!$C$40:$AH$40,0)), IFERROR(INDEX('Drop Point'!$B$13:$M$36,MATCH(B$97,'Drop Point'!$B$13:$B$37,0),MATCH($Q9,'Drop Point'!$B$41:$M$41,0)),
IFERROR(INDEX('Control - Grain dscf'!$C$11:$N$27,MATCH(B$97,'Control - Grain dscf'!$B$11:$B$27,0),MATCH($Q9,'Control - Grain dscf'!$C$32:$N$32,0)),
IFERROR(INDEX('Control - Alt'!$C$9:$O$27,MATCH(B$97,'Control - Alt'!$B$9:$B$27,0),MATCH($Q9,'Control - Alt'!$C$32:$O$32,0)),
IFERROR(INDEX(Stockpile!$C$10:$M$26,MATCH(B$97,Stockpile!$B$10:$B$26,0),MATCH($Q9,Stockpile!$C$30:$M$30,0)),
IFERROR(INDEX('Asphalt Silo &amp; Unloading'!$D$10:$M$44,MATCH(B$97,'Asphalt Silo &amp; Unloading'!$B$10:$B$44,0),MATCH($Q9,'Asphalt Silo &amp; Unloading'!$D$49:$M$49,0)),""))))))</f>
        <v/>
      </c>
      <c r="C9" s="137" t="str">
        <f>IFERROR(INDEX('Material Handling'!$C$10:$AH$33,MATCH(C$97,Material_Handling[Data],0),MATCH($Q9,'Material Handling'!$C$40:$AH$40,0)), IFERROR(INDEX('Drop Point'!$B$13:$M$36,MATCH(C$97,'Drop Point'!$B$13:$B$37,0),MATCH($Q9,'Drop Point'!$B$41:$M$41,0)),
IFERROR(INDEX('Control - Grain dscf'!$C$11:$N$27,MATCH(C$97,'Control - Grain dscf'!$B$11:$B$27,0),MATCH($Q9,'Control - Grain dscf'!$C$32:$N$32,0)),
IFERROR(INDEX('Control - Alt'!$C$9:$O$27,MATCH(C$97,'Control - Alt'!$B$9:$B$27,0),MATCH($Q9,'Control - Alt'!$C$32:$O$32,0)),
IFERROR(INDEX(Stockpile!$C$10:$M$26,MATCH(C$97,Stockpile!$B$10:$B$26,0),MATCH($Q9,Stockpile!$C$30:$M$30,0)),
IFERROR(INDEX('Asphalt Silo &amp; Unloading'!$D$10:$M$44,MATCH(C$97,'Asphalt Silo &amp; Unloading'!$B$10:$B$44,0),MATCH($Q9,'Asphalt Silo &amp; Unloading'!$D$49:$M$49,0)),""))))))</f>
        <v/>
      </c>
      <c r="D9" s="137" t="str">
        <f>IFERROR(INDEX('Material Handling'!$C$10:$AH$33,MATCH(D$97,Material_Handling[Data],0),MATCH($Q9,'Material Handling'!$C$40:$AH$40,0)), IFERROR(INDEX('Drop Point'!$B$13:$M$36,MATCH(D$97,'Drop Point'!$B$13:$B$37,0),MATCH($Q9,'Drop Point'!$B$41:$M$41,0)),
IFERROR(INDEX('Control - Grain dscf'!$C$11:$N$27,MATCH(D$97,'Control - Grain dscf'!$B$11:$B$27,0),MATCH($Q9,'Control - Grain dscf'!$C$32:$N$32,0)),
IFERROR(INDEX('Control - Alt'!$C$9:$O$27,MATCH(D$97,'Control - Alt'!$B$9:$B$27,0),MATCH($Q9,'Control - Alt'!$C$32:$O$32,0)),
IFERROR(INDEX(Stockpile!$C$10:$M$26,MATCH(D$97,Stockpile!$B$10:$B$26,0),MATCH($Q9,Stockpile!$C$30:$M$30,0)),
IFERROR(INDEX('Asphalt Silo &amp; Unloading'!$D$10:$M$44,MATCH(D$97,'Asphalt Silo &amp; Unloading'!$B$10:$B$44,0),MATCH($Q9,'Asphalt Silo &amp; Unloading'!$D$49:$M$49,0)),""))))))</f>
        <v/>
      </c>
      <c r="E9" s="619" t="str">
        <f>IFERROR(INDEX('Material Handling'!$C$10:$AH$33,MATCH(E$97,Material_Handling[Data],0),MATCH($Q9,'Material Handling'!$C$40:$AH$40,0)), IFERROR(INDEX('Drop Point'!$B$13:$M$36,MATCH(E$97,'Drop Point'!$B$13:$B$37,0),MATCH($Q9,'Drop Point'!$B$41:$M$41,0)),
IFERROR(INDEX('Control - Grain dscf'!$C$11:$N$27,MATCH(E$97,'Control - Grain dscf'!$B$11:$B$27,0),MATCH($Q9,'Control - Grain dscf'!$C$32:$N$32,0)),
IFERROR(INDEX('Control - Alt'!$C$9:$O$27,MATCH(E$97,'Control - Alt'!$B$9:$B$27,0),MATCH($Q9,'Control - Alt'!$C$32:$O$32,0)),
IFERROR(INDEX(Stockpile!$C$10:$M$26,MATCH(E$97,Stockpile!$B$10:$B$26,0),MATCH($Q9,Stockpile!$C$30:$M$30,0)),
IFERROR(INDEX('Asphalt Silo &amp; Unloading'!$D$10:$M$44,MATCH(E$97,'Asphalt Silo &amp; Unloading'!$B$10:$B$44,0),MATCH($Q9,'Asphalt Silo &amp; Unloading'!$D$49:$M$49,0)),""))))))</f>
        <v/>
      </c>
      <c r="F9" s="588" t="str">
        <f>IFERROR(INDEX('Material Handling'!$C$10:$AH$33,MATCH(F$97,Material_Handling[Data],0),MATCH($Q9,'Material Handling'!$C$40:$AH$40,0)), IFERROR(INDEX('Drop Point'!$B$13:$M$36,MATCH(F$97,'Drop Point'!$B$13:$B$37,0),MATCH($Q9,'Drop Point'!$B$41:$M$41,0)),
IFERROR(INDEX('Control - Grain dscf'!$C$11:$N$27,MATCH(F$97,'Control - Grain dscf'!$B$11:$B$27,0),MATCH($Q9,'Control - Grain dscf'!$C$32:$N$32,0)),
IFERROR(INDEX('Control - Alt'!$C$9:$O$27,MATCH(F$97,'Control - Alt'!$B$9:$B$27,0),MATCH($Q9,'Control - Alt'!$C$32:$O$32,0)),
IFERROR(INDEX(Stockpile!$C$10:$M$26,MATCH(F$97,Stockpile!$B$10:$B$26,0),MATCH($Q9,Stockpile!$C$30:$M$30,0)),
IFERROR(INDEX('Asphalt Silo &amp; Unloading'!$D$10:$M$44,MATCH(F$97,'Asphalt Silo &amp; Unloading'!$B$10:$B$44,0),MATCH($Q9,'Asphalt Silo &amp; Unloading'!$D$49:$M$49,0)),""))))))</f>
        <v/>
      </c>
      <c r="G9" s="588" t="str">
        <f>IFERROR(INDEX('Material Handling'!$C$10:$AH$33,MATCH(G$97,Material_Handling[Data],0),MATCH($Q9,'Material Handling'!$C$40:$AH$40,0)), IFERROR(INDEX('Drop Point'!$B$13:$M$36,MATCH(G$97,'Drop Point'!$B$13:$B$37,0),MATCH($Q9,'Drop Point'!$B$41:$M$41,0)),
IFERROR(INDEX('Control - Grain dscf'!$C$11:$N$27,MATCH(G$97,'Control - Grain dscf'!$B$11:$B$27,0),MATCH($Q9,'Control - Grain dscf'!$C$32:$N$32,0)),
IFERROR(INDEX('Control - Alt'!$C$9:$O$27,MATCH(G$97,'Control - Alt'!$B$9:$B$27,0),MATCH($Q9,'Control - Alt'!$C$32:$O$32,0)),
IFERROR(INDEX(Stockpile!$C$10:$M$26,MATCH(G$97,Stockpile!$B$10:$B$26,0),MATCH($Q9,Stockpile!$C$30:$M$30,0)),
IFERROR(INDEX('Asphalt Silo &amp; Unloading'!$D$10:$M$44,MATCH(G$97,'Asphalt Silo &amp; Unloading'!$B$10:$B$44,0),MATCH($Q9,'Asphalt Silo &amp; Unloading'!$D$49:$M$49,0)),""))))))</f>
        <v/>
      </c>
      <c r="H9" s="588" t="str">
        <f>IFERROR(INDEX('Material Handling'!$C$10:$AH$33,MATCH(H$97,Material_Handling[Data],0),MATCH($Q9,'Material Handling'!$C$40:$AH$40,0)), IFERROR(INDEX('Drop Point'!$B$13:$M$36,MATCH(H$97,'Drop Point'!$B$13:$B$37,0),MATCH($Q9,'Drop Point'!$B$41:$M$41,0)),
IFERROR(INDEX('Control - Grain dscf'!$C$11:$N$27,MATCH(H$97,'Control - Grain dscf'!$B$11:$B$27,0),MATCH($Q9,'Control - Grain dscf'!$C$32:$N$32,0)),
IFERROR(INDEX('Control - Alt'!$C$9:$O$27,MATCH(H$97,'Control - Alt'!$B$9:$B$27,0),MATCH($Q9,'Control - Alt'!$C$32:$O$32,0)),
IFERROR(INDEX(Stockpile!$C$10:$M$26,MATCH(H$97,Stockpile!$B$10:$B$26,0),MATCH($Q9,Stockpile!$C$30:$M$30,0)),
IFERROR(INDEX('Asphalt Silo &amp; Unloading'!$D$10:$M$44,MATCH(H$97,'Asphalt Silo &amp; Unloading'!$B$10:$B$44,0),MATCH($Q9,'Asphalt Silo &amp; Unloading'!$D$49:$M$49,0)),""))))))</f>
        <v/>
      </c>
      <c r="I9" s="588" t="str">
        <f>IFERROR(INDEX('Material Handling'!$C$10:$AH$33,MATCH(I$97,Material_Handling[Data],0),MATCH($Q9,'Material Handling'!$C$40:$AH$40,0)), IFERROR(INDEX('Drop Point'!$B$13:$M$36,MATCH(I$97,'Drop Point'!$B$13:$B$37,0),MATCH($Q9,'Drop Point'!$B$41:$M$41,0)),
IFERROR(INDEX('Control - Grain dscf'!$C$11:$N$27,MATCH(I$97,'Control - Grain dscf'!$B$11:$B$27,0),MATCH($Q9,'Control - Grain dscf'!$C$32:$N$32,0)),
IFERROR(INDEX('Control - Alt'!$C$9:$O$27,MATCH(I$97,'Control - Alt'!$B$9:$B$27,0),MATCH($Q9,'Control - Alt'!$C$32:$O$32,0)),
IFERROR(INDEX(Stockpile!$C$10:$M$26,MATCH(I$97,Stockpile!$B$10:$B$26,0),MATCH($Q9,Stockpile!$C$30:$M$30,0)),
IFERROR(INDEX('Asphalt Silo &amp; Unloading'!$D$10:$M$44,MATCH(I$97,'Asphalt Silo &amp; Unloading'!$B$10:$B$44,0),MATCH($Q9,'Asphalt Silo &amp; Unloading'!$D$49:$M$49,0)),""))))))</f>
        <v/>
      </c>
      <c r="J9" s="588" t="str">
        <f>IFERROR(INDEX('Material Handling'!$C$10:$AH$33,MATCH(J$97,Material_Handling[Data],0),MATCH($Q9,'Material Handling'!$C$40:$AH$40,0)), IFERROR(INDEX('Drop Point'!$B$13:$M$36,MATCH(J$97,'Drop Point'!$B$13:$B$37,0),MATCH($Q9,'Drop Point'!$B$41:$M$41,0)),
IFERROR(INDEX('Control - Grain dscf'!$C$11:$N$27,MATCH(J$97,'Control - Grain dscf'!$B$11:$B$27,0),MATCH($Q9,'Control - Grain dscf'!$C$32:$N$32,0)),
IFERROR(INDEX('Control - Alt'!$C$9:$O$27,MATCH(J$97,'Control - Alt'!$B$9:$B$27,0),MATCH($Q9,'Control - Alt'!$C$32:$O$32,0)),
IFERROR(INDEX(Stockpile!$C$10:$M$26,MATCH(J$97,Stockpile!$B$10:$B$26,0),MATCH($Q9,Stockpile!$C$30:$M$30,0)),
IFERROR(INDEX('Asphalt Silo &amp; Unloading'!$D$10:$M$44,MATCH(J$97,'Asphalt Silo &amp; Unloading'!$B$10:$B$44,0),MATCH($Q9,'Asphalt Silo &amp; Unloading'!$D$49:$M$49,0)),""))))))</f>
        <v/>
      </c>
      <c r="K9" s="588" t="str">
        <f>IFERROR(INDEX('Material Handling'!$C$10:$AH$33,MATCH(K$97,Material_Handling[Data],0),MATCH($Q9,'Material Handling'!$C$40:$AH$40,0)), IFERROR(INDEX('Drop Point'!$B$13:$M$36,MATCH(K$97,'Drop Point'!$B$13:$B$37,0),MATCH($Q9,'Drop Point'!$B$41:$M$41,0)),
IFERROR(INDEX('Control - Grain dscf'!$C$11:$N$27,MATCH(K$97,'Control - Grain dscf'!$B$11:$B$27,0),MATCH($Q9,'Control - Grain dscf'!$C$32:$N$32,0)),
IFERROR(INDEX('Control - Alt'!$C$9:$O$27,MATCH(K$97,'Control - Alt'!$B$9:$B$27,0),MATCH($Q9,'Control - Alt'!$C$32:$O$32,0)),
IFERROR(INDEX(Stockpile!$C$10:$M$26,MATCH(K$97,Stockpile!$B$10:$B$26,0),MATCH($Q9,Stockpile!$C$30:$M$30,0)),
IFERROR(INDEX('Asphalt Silo &amp; Unloading'!$D$10:$M$44,MATCH(K$97,'Asphalt Silo &amp; Unloading'!$B$10:$B$44,0),MATCH($Q9,'Asphalt Silo &amp; Unloading'!$D$49:$M$49,0)),""))))))</f>
        <v/>
      </c>
      <c r="L9" s="588" t="str">
        <f>IFERROR(INDEX('Material Handling'!$C$10:$AH$33,MATCH(L$97,Material_Handling[Data],0),MATCH($Q9,'Material Handling'!$C$40:$AH$40,0)), IFERROR(INDEX('Drop Point'!$B$13:$M$36,MATCH(L$97,'Drop Point'!$B$13:$B$37,0),MATCH($Q9,'Drop Point'!$B$41:$M$41,0)),
IFERROR(INDEX('Control - Grain dscf'!$C$11:$N$27,MATCH(L$97,'Control - Grain dscf'!$B$11:$B$27,0),MATCH($Q9,'Control - Grain dscf'!$C$32:$N$32,0)),
IFERROR(INDEX('Control - Alt'!$C$9:$O$27,MATCH(L$97,'Control - Alt'!$B$9:$B$27,0),MATCH($Q9,'Control - Alt'!$C$32:$O$32,0)),
IFERROR(INDEX(Stockpile!$C$10:$M$26,MATCH(L$97,Stockpile!$B$10:$B$26,0),MATCH($Q9,Stockpile!$C$30:$M$30,0)),
IFERROR(INDEX('Asphalt Silo &amp; Unloading'!$D$10:$M$44,MATCH(L$97,'Asphalt Silo &amp; Unloading'!$B$10:$B$44,0),MATCH($Q9,'Asphalt Silo &amp; Unloading'!$D$49:$M$49,0)),""))))))</f>
        <v/>
      </c>
      <c r="M9" s="588" t="str">
        <f>IFERROR(INDEX('Material Handling'!$C$10:$AH$33,MATCH(M$97,Material_Handling[Data],0),MATCH($Q9,'Material Handling'!$C$40:$AH$40,0)), IFERROR(INDEX('Drop Point'!$B$13:$M$36,MATCH(M$97,'Drop Point'!$B$13:$B$37,0),MATCH($Q9,'Drop Point'!$B$41:$M$41,0)),
IFERROR(INDEX('Control - Grain dscf'!$C$11:$N$27,MATCH(M$97,'Control - Grain dscf'!$B$11:$B$27,0),MATCH($Q9,'Control - Grain dscf'!$C$32:$N$32,0)),
IFERROR(INDEX('Control - Alt'!$C$9:$O$27,MATCH(M$97,'Control - Alt'!$B$9:$B$27,0),MATCH($Q9,'Control - Alt'!$C$32:$O$32,0)),
IFERROR(INDEX(Stockpile!$C$10:$M$26,MATCH(M$97,Stockpile!$B$10:$B$26,0),MATCH($Q9,Stockpile!$C$30:$M$30,0)),
IFERROR(INDEX('Asphalt Silo &amp; Unloading'!$D$10:$M$44,MATCH(M$97,'Asphalt Silo &amp; Unloading'!$B$10:$B$44,0),MATCH($Q9,'Asphalt Silo &amp; Unloading'!$D$49:$M$49,0)),""))))))</f>
        <v/>
      </c>
      <c r="N9" s="588" t="str">
        <f>IFERROR(INDEX('Material Handling'!$C$10:$AH$33,MATCH(N$97,Material_Handling[Data],0),MATCH($Q9,'Material Handling'!$C$40:$AH$40,0)), IFERROR(INDEX('Drop Point'!$B$13:$M$36,MATCH(N$97,'Drop Point'!$B$13:$B$37,0),MATCH($Q9,'Drop Point'!$B$41:$M$41,0)),
IFERROR(INDEX('Control - Grain dscf'!$C$11:$N$27,MATCH(N$97,'Control - Grain dscf'!$B$11:$B$27,0),MATCH($Q9,'Control - Grain dscf'!$C$32:$N$32,0)),
IFERROR(INDEX('Control - Alt'!$C$9:$O$27,MATCH(N$97,'Control - Alt'!$B$9:$B$27,0),MATCH($Q9,'Control - Alt'!$C$32:$O$32,0)),
IFERROR(INDEX(Stockpile!$C$10:$M$26,MATCH(N$97,Stockpile!$B$10:$B$26,0),MATCH($Q9,Stockpile!$C$30:$M$30,0)),
IFERROR(INDEX('Asphalt Silo &amp; Unloading'!$D$10:$M$44,MATCH(N$97,'Asphalt Silo &amp; Unloading'!$B$10:$B$44,0),MATCH($Q9,'Asphalt Silo &amp; Unloading'!$D$49:$M$49,0)),""))))))</f>
        <v/>
      </c>
      <c r="O9" s="589" t="str">
        <f>IFERROR(INDEX('Material Handling'!$C$10:$AH$33,MATCH(O$97,Material_Handling[Data],0),MATCH($Q9,'Material Handling'!$C$40:$AH$40,0)), IFERROR(INDEX('Drop Point'!$B$13:$M$36,MATCH(O$97,'Drop Point'!$B$13:$B$37,0),MATCH($Q9,'Drop Point'!$B$41:$M$41,0)),
IFERROR(INDEX('Control - Grain dscf'!$C$11:$N$27,MATCH(O$97,'Control - Grain dscf'!$B$11:$B$27,0),MATCH($Q9,'Control - Grain dscf'!$C$32:$N$32,0)),
IFERROR(INDEX('Control - Alt'!$C$9:$O$27,MATCH(O$97,'Control - Alt'!$B$9:$B$27,0),MATCH($Q9,'Control - Alt'!$C$32:$O$32,0)),
IFERROR(INDEX(Stockpile!$C$10:$M$26,MATCH(O$97,Stockpile!$B$10:$B$26,0),MATCH($Q9,Stockpile!$C$30:$M$30,0)),
IFERROR(INDEX('Asphalt Silo &amp; Unloading'!$D$10:$M$44,MATCH(O$97,'Asphalt Silo &amp; Unloading'!$B$10:$B$44,0),MATCH($Q9,'Asphalt Silo &amp; Unloading'!$D$49:$M$49,0)),""))))))</f>
        <v/>
      </c>
      <c r="Q9" s="131">
        <v>1</v>
      </c>
    </row>
    <row r="10" spans="1:17" ht="20.100000000000001" customHeight="1">
      <c r="A10" s="293" t="str">
        <f>IFERROR(INDEX('Material Handling'!$C$10:$AH$33,MATCH(A$97,Material_Handling[Data],0),MATCH($Q10,'Material Handling'!$C$40:$AH$40,0)), IFERROR(INDEX('Drop Point'!$B$13:$M$36,MATCH(A$97,'Drop Point'!$B$13:$B$37,0),MATCH($Q10,'Drop Point'!$B$41:$M$41,0)),
IFERROR(INDEX('Control - Grain dscf'!$C$11:$N$27,MATCH(A$97,'Control - Grain dscf'!$B$11:$B$27,0),MATCH($Q10,'Control - Grain dscf'!$C$32:$N$32,0)),
IFERROR(INDEX('Control - Alt'!$C$9:$O$27,MATCH(A$97,'Control - Alt'!$B$9:$B$27,0),MATCH($Q10,'Control - Alt'!$C$32:$O$32,0)),
IFERROR(INDEX(Stockpile!$C$10:$M$26,MATCH(A$97,Stockpile!$B$10:$B$26,0),MATCH($Q10,Stockpile!$C$30:$M$30,0)),
IFERROR(INDEX('Asphalt Silo &amp; Unloading'!$D$10:$M$44,MATCH(A$97,'Asphalt Silo &amp; Unloading'!$B$10:$B$44,0),MATCH($Q10,'Asphalt Silo &amp; Unloading'!$D$49:$M$49,0)),""))))))</f>
        <v/>
      </c>
      <c r="B10" s="135" t="str">
        <f>IFERROR(INDEX('Material Handling'!$C$10:$AH$33,MATCH(B$97,Material_Handling[Data],0),MATCH($Q10,'Material Handling'!$C$40:$AH$40,0)), IFERROR(INDEX('Drop Point'!$B$13:$M$36,MATCH(B$97,'Drop Point'!$B$13:$B$37,0),MATCH($Q10,'Drop Point'!$B$41:$M$41,0)),
IFERROR(INDEX('Control - Grain dscf'!$C$11:$N$27,MATCH(B$97,'Control - Grain dscf'!$B$11:$B$27,0),MATCH($Q10,'Control - Grain dscf'!$C$32:$N$32,0)),
IFERROR(INDEX('Control - Alt'!$C$9:$O$27,MATCH(B$97,'Control - Alt'!$B$9:$B$27,0),MATCH($Q10,'Control - Alt'!$C$32:$O$32,0)),
IFERROR(INDEX(Stockpile!$C$10:$M$26,MATCH(B$97,Stockpile!$B$10:$B$26,0),MATCH($Q10,Stockpile!$C$30:$M$30,0)),
IFERROR(INDEX('Asphalt Silo &amp; Unloading'!$D$10:$M$44,MATCH(B$97,'Asphalt Silo &amp; Unloading'!$B$10:$B$44,0),MATCH($Q10,'Asphalt Silo &amp; Unloading'!$D$49:$M$49,0)),""))))))</f>
        <v/>
      </c>
      <c r="C10" s="135" t="str">
        <f>IFERROR(INDEX('Material Handling'!$C$10:$AH$33,MATCH(C$97,Material_Handling[Data],0),MATCH($Q10,'Material Handling'!$C$40:$AH$40,0)), IFERROR(INDEX('Drop Point'!$B$13:$M$36,MATCH(C$97,'Drop Point'!$B$13:$B$37,0),MATCH($Q10,'Drop Point'!$B$41:$M$41,0)),
IFERROR(INDEX('Control - Grain dscf'!$C$11:$N$27,MATCH(C$97,'Control - Grain dscf'!$B$11:$B$27,0),MATCH($Q10,'Control - Grain dscf'!$C$32:$N$32,0)),
IFERROR(INDEX('Control - Alt'!$C$9:$O$27,MATCH(C$97,'Control - Alt'!$B$9:$B$27,0),MATCH($Q10,'Control - Alt'!$C$32:$O$32,0)),
IFERROR(INDEX(Stockpile!$C$10:$M$26,MATCH(C$97,Stockpile!$B$10:$B$26,0),MATCH($Q10,Stockpile!$C$30:$M$30,0)),
IFERROR(INDEX('Asphalt Silo &amp; Unloading'!$D$10:$M$44,MATCH(C$97,'Asphalt Silo &amp; Unloading'!$B$10:$B$44,0),MATCH($Q10,'Asphalt Silo &amp; Unloading'!$D$49:$M$49,0)),""))))))</f>
        <v/>
      </c>
      <c r="D10" s="135" t="str">
        <f>IFERROR(INDEX('Material Handling'!$C$10:$AH$33,MATCH(D$97,Material_Handling[Data],0),MATCH($Q10,'Material Handling'!$C$40:$AH$40,0)), IFERROR(INDEX('Drop Point'!$B$13:$M$36,MATCH(D$97,'Drop Point'!$B$13:$B$37,0),MATCH($Q10,'Drop Point'!$B$41:$M$41,0)),
IFERROR(INDEX('Control - Grain dscf'!$C$11:$N$27,MATCH(D$97,'Control - Grain dscf'!$B$11:$B$27,0),MATCH($Q10,'Control - Grain dscf'!$C$32:$N$32,0)),
IFERROR(INDEX('Control - Alt'!$C$9:$O$27,MATCH(D$97,'Control - Alt'!$B$9:$B$27,0),MATCH($Q10,'Control - Alt'!$C$32:$O$32,0)),
IFERROR(INDEX(Stockpile!$C$10:$M$26,MATCH(D$97,Stockpile!$B$10:$B$26,0),MATCH($Q10,Stockpile!$C$30:$M$30,0)),
IFERROR(INDEX('Asphalt Silo &amp; Unloading'!$D$10:$M$44,MATCH(D$97,'Asphalt Silo &amp; Unloading'!$B$10:$B$44,0),MATCH($Q10,'Asphalt Silo &amp; Unloading'!$D$49:$M$49,0)),""))))))</f>
        <v/>
      </c>
      <c r="E10" s="620" t="str">
        <f>IFERROR(INDEX('Material Handling'!$C$10:$AH$33,MATCH(E$97,Material_Handling[Data],0),MATCH($Q10,'Material Handling'!$C$40:$AH$40,0)), IFERROR(INDEX('Drop Point'!$B$13:$M$36,MATCH(E$97,'Drop Point'!$B$13:$B$37,0),MATCH($Q10,'Drop Point'!$B$41:$M$41,0)),
IFERROR(INDEX('Control - Grain dscf'!$C$11:$N$27,MATCH(E$97,'Control - Grain dscf'!$B$11:$B$27,0),MATCH($Q10,'Control - Grain dscf'!$C$32:$N$32,0)),
IFERROR(INDEX('Control - Alt'!$C$9:$O$27,MATCH(E$97,'Control - Alt'!$B$9:$B$27,0),MATCH($Q10,'Control - Alt'!$C$32:$O$32,0)),
IFERROR(INDEX(Stockpile!$C$10:$M$26,MATCH(E$97,Stockpile!$B$10:$B$26,0),MATCH($Q10,Stockpile!$C$30:$M$30,0)),
IFERROR(INDEX('Asphalt Silo &amp; Unloading'!$D$10:$M$44,MATCH(E$97,'Asphalt Silo &amp; Unloading'!$B$10:$B$44,0),MATCH($Q10,'Asphalt Silo &amp; Unloading'!$D$49:$M$49,0)),""))))))</f>
        <v/>
      </c>
      <c r="F10" s="590" t="str">
        <f>IFERROR(INDEX('Material Handling'!$C$10:$AH$33,MATCH(F$97,Material_Handling[Data],0),MATCH($Q10,'Material Handling'!$C$40:$AH$40,0)), IFERROR(INDEX('Drop Point'!$B$13:$M$36,MATCH(F$97,'Drop Point'!$B$13:$B$37,0),MATCH($Q10,'Drop Point'!$B$41:$M$41,0)),
IFERROR(INDEX('Control - Grain dscf'!$C$11:$N$27,MATCH(F$97,'Control - Grain dscf'!$B$11:$B$27,0),MATCH($Q10,'Control - Grain dscf'!$C$32:$N$32,0)),
IFERROR(INDEX('Control - Alt'!$C$9:$O$27,MATCH(F$97,'Control - Alt'!$B$9:$B$27,0),MATCH($Q10,'Control - Alt'!$C$32:$O$32,0)),
IFERROR(INDEX(Stockpile!$C$10:$M$26,MATCH(F$97,Stockpile!$B$10:$B$26,0),MATCH($Q10,Stockpile!$C$30:$M$30,0)),
IFERROR(INDEX('Asphalt Silo &amp; Unloading'!$D$10:$M$44,MATCH(F$97,'Asphalt Silo &amp; Unloading'!$B$10:$B$44,0),MATCH($Q10,'Asphalt Silo &amp; Unloading'!$D$49:$M$49,0)),""))))))</f>
        <v/>
      </c>
      <c r="G10" s="590" t="str">
        <f>IFERROR(INDEX('Material Handling'!$C$10:$AH$33,MATCH(G$97,Material_Handling[Data],0),MATCH($Q10,'Material Handling'!$C$40:$AH$40,0)), IFERROR(INDEX('Drop Point'!$B$13:$M$36,MATCH(G$97,'Drop Point'!$B$13:$B$37,0),MATCH($Q10,'Drop Point'!$B$41:$M$41,0)),
IFERROR(INDEX('Control - Grain dscf'!$C$11:$N$27,MATCH(G$97,'Control - Grain dscf'!$B$11:$B$27,0),MATCH($Q10,'Control - Grain dscf'!$C$32:$N$32,0)),
IFERROR(INDEX('Control - Alt'!$C$9:$O$27,MATCH(G$97,'Control - Alt'!$B$9:$B$27,0),MATCH($Q10,'Control - Alt'!$C$32:$O$32,0)),
IFERROR(INDEX(Stockpile!$C$10:$M$26,MATCH(G$97,Stockpile!$B$10:$B$26,0),MATCH($Q10,Stockpile!$C$30:$M$30,0)),
IFERROR(INDEX('Asphalt Silo &amp; Unloading'!$D$10:$M$44,MATCH(G$97,'Asphalt Silo &amp; Unloading'!$B$10:$B$44,0),MATCH($Q10,'Asphalt Silo &amp; Unloading'!$D$49:$M$49,0)),""))))))</f>
        <v/>
      </c>
      <c r="H10" s="590" t="str">
        <f>IFERROR(INDEX('Material Handling'!$C$10:$AH$33,MATCH(H$97,Material_Handling[Data],0),MATCH($Q10,'Material Handling'!$C$40:$AH$40,0)), IFERROR(INDEX('Drop Point'!$B$13:$M$36,MATCH(H$97,'Drop Point'!$B$13:$B$37,0),MATCH($Q10,'Drop Point'!$B$41:$M$41,0)),
IFERROR(INDEX('Control - Grain dscf'!$C$11:$N$27,MATCH(H$97,'Control - Grain dscf'!$B$11:$B$27,0),MATCH($Q10,'Control - Grain dscf'!$C$32:$N$32,0)),
IFERROR(INDEX('Control - Alt'!$C$9:$O$27,MATCH(H$97,'Control - Alt'!$B$9:$B$27,0),MATCH($Q10,'Control - Alt'!$C$32:$O$32,0)),
IFERROR(INDEX(Stockpile!$C$10:$M$26,MATCH(H$97,Stockpile!$B$10:$B$26,0),MATCH($Q10,Stockpile!$C$30:$M$30,0)),
IFERROR(INDEX('Asphalt Silo &amp; Unloading'!$D$10:$M$44,MATCH(H$97,'Asphalt Silo &amp; Unloading'!$B$10:$B$44,0),MATCH($Q10,'Asphalt Silo &amp; Unloading'!$D$49:$M$49,0)),""))))))</f>
        <v/>
      </c>
      <c r="I10" s="590" t="str">
        <f>IFERROR(INDEX('Material Handling'!$C$10:$AH$33,MATCH(I$97,Material_Handling[Data],0),MATCH($Q10,'Material Handling'!$C$40:$AH$40,0)), IFERROR(INDEX('Drop Point'!$B$13:$M$36,MATCH(I$97,'Drop Point'!$B$13:$B$37,0),MATCH($Q10,'Drop Point'!$B$41:$M$41,0)),
IFERROR(INDEX('Control - Grain dscf'!$C$11:$N$27,MATCH(I$97,'Control - Grain dscf'!$B$11:$B$27,0),MATCH($Q10,'Control - Grain dscf'!$C$32:$N$32,0)),
IFERROR(INDEX('Control - Alt'!$C$9:$O$27,MATCH(I$97,'Control - Alt'!$B$9:$B$27,0),MATCH($Q10,'Control - Alt'!$C$32:$O$32,0)),
IFERROR(INDEX(Stockpile!$C$10:$M$26,MATCH(I$97,Stockpile!$B$10:$B$26,0),MATCH($Q10,Stockpile!$C$30:$M$30,0)),
IFERROR(INDEX('Asphalt Silo &amp; Unloading'!$D$10:$M$44,MATCH(I$97,'Asphalt Silo &amp; Unloading'!$B$10:$B$44,0),MATCH($Q10,'Asphalt Silo &amp; Unloading'!$D$49:$M$49,0)),""))))))</f>
        <v/>
      </c>
      <c r="J10" s="590" t="str">
        <f>IFERROR(INDEX('Material Handling'!$C$10:$AH$33,MATCH(J$97,Material_Handling[Data],0),MATCH($Q10,'Material Handling'!$C$40:$AH$40,0)), IFERROR(INDEX('Drop Point'!$B$13:$M$36,MATCH(J$97,'Drop Point'!$B$13:$B$37,0),MATCH($Q10,'Drop Point'!$B$41:$M$41,0)),
IFERROR(INDEX('Control - Grain dscf'!$C$11:$N$27,MATCH(J$97,'Control - Grain dscf'!$B$11:$B$27,0),MATCH($Q10,'Control - Grain dscf'!$C$32:$N$32,0)),
IFERROR(INDEX('Control - Alt'!$C$9:$O$27,MATCH(J$97,'Control - Alt'!$B$9:$B$27,0),MATCH($Q10,'Control - Alt'!$C$32:$O$32,0)),
IFERROR(INDEX(Stockpile!$C$10:$M$26,MATCH(J$97,Stockpile!$B$10:$B$26,0),MATCH($Q10,Stockpile!$C$30:$M$30,0)),
IFERROR(INDEX('Asphalt Silo &amp; Unloading'!$D$10:$M$44,MATCH(J$97,'Asphalt Silo &amp; Unloading'!$B$10:$B$44,0),MATCH($Q10,'Asphalt Silo &amp; Unloading'!$D$49:$M$49,0)),""))))))</f>
        <v/>
      </c>
      <c r="K10" s="590" t="str">
        <f>IFERROR(INDEX('Material Handling'!$C$10:$AH$33,MATCH(K$97,Material_Handling[Data],0),MATCH($Q10,'Material Handling'!$C$40:$AH$40,0)), IFERROR(INDEX('Drop Point'!$B$13:$M$36,MATCH(K$97,'Drop Point'!$B$13:$B$37,0),MATCH($Q10,'Drop Point'!$B$41:$M$41,0)),
IFERROR(INDEX('Control - Grain dscf'!$C$11:$N$27,MATCH(K$97,'Control - Grain dscf'!$B$11:$B$27,0),MATCH($Q10,'Control - Grain dscf'!$C$32:$N$32,0)),
IFERROR(INDEX('Control - Alt'!$C$9:$O$27,MATCH(K$97,'Control - Alt'!$B$9:$B$27,0),MATCH($Q10,'Control - Alt'!$C$32:$O$32,0)),
IFERROR(INDEX(Stockpile!$C$10:$M$26,MATCH(K$97,Stockpile!$B$10:$B$26,0),MATCH($Q10,Stockpile!$C$30:$M$30,0)),
IFERROR(INDEX('Asphalt Silo &amp; Unloading'!$D$10:$M$44,MATCH(K$97,'Asphalt Silo &amp; Unloading'!$B$10:$B$44,0),MATCH($Q10,'Asphalt Silo &amp; Unloading'!$D$49:$M$49,0)),""))))))</f>
        <v/>
      </c>
      <c r="L10" s="590" t="str">
        <f>IFERROR(INDEX('Material Handling'!$C$10:$AH$33,MATCH(L$97,Material_Handling[Data],0),MATCH($Q10,'Material Handling'!$C$40:$AH$40,0)), IFERROR(INDEX('Drop Point'!$B$13:$M$36,MATCH(L$97,'Drop Point'!$B$13:$B$37,0),MATCH($Q10,'Drop Point'!$B$41:$M$41,0)),
IFERROR(INDEX('Control - Grain dscf'!$C$11:$N$27,MATCH(L$97,'Control - Grain dscf'!$B$11:$B$27,0),MATCH($Q10,'Control - Grain dscf'!$C$32:$N$32,0)),
IFERROR(INDEX('Control - Alt'!$C$9:$O$27,MATCH(L$97,'Control - Alt'!$B$9:$B$27,0),MATCH($Q10,'Control - Alt'!$C$32:$O$32,0)),
IFERROR(INDEX(Stockpile!$C$10:$M$26,MATCH(L$97,Stockpile!$B$10:$B$26,0),MATCH($Q10,Stockpile!$C$30:$M$30,0)),
IFERROR(INDEX('Asphalt Silo &amp; Unloading'!$D$10:$M$44,MATCH(L$97,'Asphalt Silo &amp; Unloading'!$B$10:$B$44,0),MATCH($Q10,'Asphalt Silo &amp; Unloading'!$D$49:$M$49,0)),""))))))</f>
        <v/>
      </c>
      <c r="M10" s="590" t="str">
        <f>IFERROR(INDEX('Material Handling'!$C$10:$AH$33,MATCH(M$97,Material_Handling[Data],0),MATCH($Q10,'Material Handling'!$C$40:$AH$40,0)), IFERROR(INDEX('Drop Point'!$B$13:$M$36,MATCH(M$97,'Drop Point'!$B$13:$B$37,0),MATCH($Q10,'Drop Point'!$B$41:$M$41,0)),
IFERROR(INDEX('Control - Grain dscf'!$C$11:$N$27,MATCH(M$97,'Control - Grain dscf'!$B$11:$B$27,0),MATCH($Q10,'Control - Grain dscf'!$C$32:$N$32,0)),
IFERROR(INDEX('Control - Alt'!$C$9:$O$27,MATCH(M$97,'Control - Alt'!$B$9:$B$27,0),MATCH($Q10,'Control - Alt'!$C$32:$O$32,0)),
IFERROR(INDEX(Stockpile!$C$10:$M$26,MATCH(M$97,Stockpile!$B$10:$B$26,0),MATCH($Q10,Stockpile!$C$30:$M$30,0)),
IFERROR(INDEX('Asphalt Silo &amp; Unloading'!$D$10:$M$44,MATCH(M$97,'Asphalt Silo &amp; Unloading'!$B$10:$B$44,0),MATCH($Q10,'Asphalt Silo &amp; Unloading'!$D$49:$M$49,0)),""))))))</f>
        <v/>
      </c>
      <c r="N10" s="590" t="str">
        <f>IFERROR(INDEX('Material Handling'!$C$10:$AH$33,MATCH(N$97,Material_Handling[Data],0),MATCH($Q10,'Material Handling'!$C$40:$AH$40,0)), IFERROR(INDEX('Drop Point'!$B$13:$M$36,MATCH(N$97,'Drop Point'!$B$13:$B$37,0),MATCH($Q10,'Drop Point'!$B$41:$M$41,0)),
IFERROR(INDEX('Control - Grain dscf'!$C$11:$N$27,MATCH(N$97,'Control - Grain dscf'!$B$11:$B$27,0),MATCH($Q10,'Control - Grain dscf'!$C$32:$N$32,0)),
IFERROR(INDEX('Control - Alt'!$C$9:$O$27,MATCH(N$97,'Control - Alt'!$B$9:$B$27,0),MATCH($Q10,'Control - Alt'!$C$32:$O$32,0)),
IFERROR(INDEX(Stockpile!$C$10:$M$26,MATCH(N$97,Stockpile!$B$10:$B$26,0),MATCH($Q10,Stockpile!$C$30:$M$30,0)),
IFERROR(INDEX('Asphalt Silo &amp; Unloading'!$D$10:$M$44,MATCH(N$97,'Asphalt Silo &amp; Unloading'!$B$10:$B$44,0),MATCH($Q10,'Asphalt Silo &amp; Unloading'!$D$49:$M$49,0)),""))))))</f>
        <v/>
      </c>
      <c r="O10" s="591" t="str">
        <f>IFERROR(INDEX('Material Handling'!$C$10:$AH$33,MATCH(O$97,Material_Handling[Data],0),MATCH($Q10,'Material Handling'!$C$40:$AH$40,0)), IFERROR(INDEX('Drop Point'!$B$13:$M$36,MATCH(O$97,'Drop Point'!$B$13:$B$37,0),MATCH($Q10,'Drop Point'!$B$41:$M$41,0)),
IFERROR(INDEX('Control - Grain dscf'!$C$11:$N$27,MATCH(O$97,'Control - Grain dscf'!$B$11:$B$27,0),MATCH($Q10,'Control - Grain dscf'!$C$32:$N$32,0)),
IFERROR(INDEX('Control - Alt'!$C$9:$O$27,MATCH(O$97,'Control - Alt'!$B$9:$B$27,0),MATCH($Q10,'Control - Alt'!$C$32:$O$32,0)),
IFERROR(INDEX(Stockpile!$C$10:$M$26,MATCH(O$97,Stockpile!$B$10:$B$26,0),MATCH($Q10,Stockpile!$C$30:$M$30,0)),
IFERROR(INDEX('Asphalt Silo &amp; Unloading'!$D$10:$M$44,MATCH(O$97,'Asphalt Silo &amp; Unloading'!$B$10:$B$44,0),MATCH($Q10,'Asphalt Silo &amp; Unloading'!$D$49:$M$49,0)),""))))))</f>
        <v/>
      </c>
      <c r="Q10" s="131">
        <f t="shared" ref="Q10:Q41" si="0">Q9+1</f>
        <v>2</v>
      </c>
    </row>
    <row r="11" spans="1:17" ht="20.100000000000001" customHeight="1">
      <c r="A11" s="293" t="str">
        <f>IFERROR(INDEX('Material Handling'!$C$10:$AH$33,MATCH(A$97,Material_Handling[Data],0),MATCH($Q11,'Material Handling'!$C$40:$AH$40,0)), IFERROR(INDEX('Drop Point'!$B$13:$M$36,MATCH(A$97,'Drop Point'!$B$13:$B$37,0),MATCH($Q11,'Drop Point'!$B$41:$M$41,0)),
IFERROR(INDEX('Control - Grain dscf'!$C$11:$N$27,MATCH(A$97,'Control - Grain dscf'!$B$11:$B$27,0),MATCH($Q11,'Control - Grain dscf'!$C$32:$N$32,0)),
IFERROR(INDEX('Control - Alt'!$C$9:$O$27,MATCH(A$97,'Control - Alt'!$B$9:$B$27,0),MATCH($Q11,'Control - Alt'!$C$32:$O$32,0)),
IFERROR(INDEX(Stockpile!$C$10:$M$26,MATCH(A$97,Stockpile!$B$10:$B$26,0),MATCH($Q11,Stockpile!$C$30:$M$30,0)),
IFERROR(INDEX('Asphalt Silo &amp; Unloading'!$D$10:$M$44,MATCH(A$97,'Asphalt Silo &amp; Unloading'!$B$10:$B$44,0),MATCH($Q11,'Asphalt Silo &amp; Unloading'!$D$49:$M$49,0)),""))))))</f>
        <v/>
      </c>
      <c r="B11" s="135" t="str">
        <f>IFERROR(INDEX('Material Handling'!$C$10:$AH$33,MATCH(B$97,Material_Handling[Data],0),MATCH($Q11,'Material Handling'!$C$40:$AH$40,0)), IFERROR(INDEX('Drop Point'!$B$13:$M$36,MATCH(B$97,'Drop Point'!$B$13:$B$37,0),MATCH($Q11,'Drop Point'!$B$41:$M$41,0)),
IFERROR(INDEX('Control - Grain dscf'!$C$11:$N$27,MATCH(B$97,'Control - Grain dscf'!$B$11:$B$27,0),MATCH($Q11,'Control - Grain dscf'!$C$32:$N$32,0)),
IFERROR(INDEX('Control - Alt'!$C$9:$O$27,MATCH(B$97,'Control - Alt'!$B$9:$B$27,0),MATCH($Q11,'Control - Alt'!$C$32:$O$32,0)),
IFERROR(INDEX(Stockpile!$C$10:$M$26,MATCH(B$97,Stockpile!$B$10:$B$26,0),MATCH($Q11,Stockpile!$C$30:$M$30,0)),
IFERROR(INDEX('Asphalt Silo &amp; Unloading'!$D$10:$M$44,MATCH(B$97,'Asphalt Silo &amp; Unloading'!$B$10:$B$44,0),MATCH($Q11,'Asphalt Silo &amp; Unloading'!$D$49:$M$49,0)),""))))))</f>
        <v/>
      </c>
      <c r="C11" s="135" t="str">
        <f>IFERROR(INDEX('Material Handling'!$C$10:$AH$33,MATCH(C$97,Material_Handling[Data],0),MATCH($Q11,'Material Handling'!$C$40:$AH$40,0)), IFERROR(INDEX('Drop Point'!$B$13:$M$36,MATCH(C$97,'Drop Point'!$B$13:$B$37,0),MATCH($Q11,'Drop Point'!$B$41:$M$41,0)),
IFERROR(INDEX('Control - Grain dscf'!$C$11:$N$27,MATCH(C$97,'Control - Grain dscf'!$B$11:$B$27,0),MATCH($Q11,'Control - Grain dscf'!$C$32:$N$32,0)),
IFERROR(INDEX('Control - Alt'!$C$9:$O$27,MATCH(C$97,'Control - Alt'!$B$9:$B$27,0),MATCH($Q11,'Control - Alt'!$C$32:$O$32,0)),
IFERROR(INDEX(Stockpile!$C$10:$M$26,MATCH(C$97,Stockpile!$B$10:$B$26,0),MATCH($Q11,Stockpile!$C$30:$M$30,0)),
IFERROR(INDEX('Asphalt Silo &amp; Unloading'!$D$10:$M$44,MATCH(C$97,'Asphalt Silo &amp; Unloading'!$B$10:$B$44,0),MATCH($Q11,'Asphalt Silo &amp; Unloading'!$D$49:$M$49,0)),""))))))</f>
        <v/>
      </c>
      <c r="D11" s="135" t="str">
        <f>IFERROR(INDEX('Material Handling'!$C$10:$AH$33,MATCH(D$97,Material_Handling[Data],0),MATCH($Q11,'Material Handling'!$C$40:$AH$40,0)), IFERROR(INDEX('Drop Point'!$B$13:$M$36,MATCH(D$97,'Drop Point'!$B$13:$B$37,0),MATCH($Q11,'Drop Point'!$B$41:$M$41,0)),
IFERROR(INDEX('Control - Grain dscf'!$C$11:$N$27,MATCH(D$97,'Control - Grain dscf'!$B$11:$B$27,0),MATCH($Q11,'Control - Grain dscf'!$C$32:$N$32,0)),
IFERROR(INDEX('Control - Alt'!$C$9:$O$27,MATCH(D$97,'Control - Alt'!$B$9:$B$27,0),MATCH($Q11,'Control - Alt'!$C$32:$O$32,0)),
IFERROR(INDEX(Stockpile!$C$10:$M$26,MATCH(D$97,Stockpile!$B$10:$B$26,0),MATCH($Q11,Stockpile!$C$30:$M$30,0)),
IFERROR(INDEX('Asphalt Silo &amp; Unloading'!$D$10:$M$44,MATCH(D$97,'Asphalt Silo &amp; Unloading'!$B$10:$B$44,0),MATCH($Q11,'Asphalt Silo &amp; Unloading'!$D$49:$M$49,0)),""))))))</f>
        <v/>
      </c>
      <c r="E11" s="620" t="str">
        <f>IFERROR(INDEX('Material Handling'!$C$10:$AH$33,MATCH(E$97,Material_Handling[Data],0),MATCH($Q11,'Material Handling'!$C$40:$AH$40,0)), IFERROR(INDEX('Drop Point'!$B$13:$M$36,MATCH(E$97,'Drop Point'!$B$13:$B$37,0),MATCH($Q11,'Drop Point'!$B$41:$M$41,0)),
IFERROR(INDEX('Control - Grain dscf'!$C$11:$N$27,MATCH(E$97,'Control - Grain dscf'!$B$11:$B$27,0),MATCH($Q11,'Control - Grain dscf'!$C$32:$N$32,0)),
IFERROR(INDEX('Control - Alt'!$C$9:$O$27,MATCH(E$97,'Control - Alt'!$B$9:$B$27,0),MATCH($Q11,'Control - Alt'!$C$32:$O$32,0)),
IFERROR(INDEX(Stockpile!$C$10:$M$26,MATCH(E$97,Stockpile!$B$10:$B$26,0),MATCH($Q11,Stockpile!$C$30:$M$30,0)),
IFERROR(INDEX('Asphalt Silo &amp; Unloading'!$D$10:$M$44,MATCH(E$97,'Asphalt Silo &amp; Unloading'!$B$10:$B$44,0),MATCH($Q11,'Asphalt Silo &amp; Unloading'!$D$49:$M$49,0)),""))))))</f>
        <v/>
      </c>
      <c r="F11" s="590" t="str">
        <f>IFERROR(INDEX('Material Handling'!$C$10:$AH$33,MATCH(F$97,Material_Handling[Data],0),MATCH($Q11,'Material Handling'!$C$40:$AH$40,0)), IFERROR(INDEX('Drop Point'!$B$13:$M$36,MATCH(F$97,'Drop Point'!$B$13:$B$37,0),MATCH($Q11,'Drop Point'!$B$41:$M$41,0)),
IFERROR(INDEX('Control - Grain dscf'!$C$11:$N$27,MATCH(F$97,'Control - Grain dscf'!$B$11:$B$27,0),MATCH($Q11,'Control - Grain dscf'!$C$32:$N$32,0)),
IFERROR(INDEX('Control - Alt'!$C$9:$O$27,MATCH(F$97,'Control - Alt'!$B$9:$B$27,0),MATCH($Q11,'Control - Alt'!$C$32:$O$32,0)),
IFERROR(INDEX(Stockpile!$C$10:$M$26,MATCH(F$97,Stockpile!$B$10:$B$26,0),MATCH($Q11,Stockpile!$C$30:$M$30,0)),
IFERROR(INDEX('Asphalt Silo &amp; Unloading'!$D$10:$M$44,MATCH(F$97,'Asphalt Silo &amp; Unloading'!$B$10:$B$44,0),MATCH($Q11,'Asphalt Silo &amp; Unloading'!$D$49:$M$49,0)),""))))))</f>
        <v/>
      </c>
      <c r="G11" s="590" t="str">
        <f>IFERROR(INDEX('Material Handling'!$C$10:$AH$33,MATCH(G$97,Material_Handling[Data],0),MATCH($Q11,'Material Handling'!$C$40:$AH$40,0)), IFERROR(INDEX('Drop Point'!$B$13:$M$36,MATCH(G$97,'Drop Point'!$B$13:$B$37,0),MATCH($Q11,'Drop Point'!$B$41:$M$41,0)),
IFERROR(INDEX('Control - Grain dscf'!$C$11:$N$27,MATCH(G$97,'Control - Grain dscf'!$B$11:$B$27,0),MATCH($Q11,'Control - Grain dscf'!$C$32:$N$32,0)),
IFERROR(INDEX('Control - Alt'!$C$9:$O$27,MATCH(G$97,'Control - Alt'!$B$9:$B$27,0),MATCH($Q11,'Control - Alt'!$C$32:$O$32,0)),
IFERROR(INDEX(Stockpile!$C$10:$M$26,MATCH(G$97,Stockpile!$B$10:$B$26,0),MATCH($Q11,Stockpile!$C$30:$M$30,0)),
IFERROR(INDEX('Asphalt Silo &amp; Unloading'!$D$10:$M$44,MATCH(G$97,'Asphalt Silo &amp; Unloading'!$B$10:$B$44,0),MATCH($Q11,'Asphalt Silo &amp; Unloading'!$D$49:$M$49,0)),""))))))</f>
        <v/>
      </c>
      <c r="H11" s="590" t="str">
        <f>IFERROR(INDEX('Material Handling'!$C$10:$AH$33,MATCH(H$97,Material_Handling[Data],0),MATCH($Q11,'Material Handling'!$C$40:$AH$40,0)), IFERROR(INDEX('Drop Point'!$B$13:$M$36,MATCH(H$97,'Drop Point'!$B$13:$B$37,0),MATCH($Q11,'Drop Point'!$B$41:$M$41,0)),
IFERROR(INDEX('Control - Grain dscf'!$C$11:$N$27,MATCH(H$97,'Control - Grain dscf'!$B$11:$B$27,0),MATCH($Q11,'Control - Grain dscf'!$C$32:$N$32,0)),
IFERROR(INDEX('Control - Alt'!$C$9:$O$27,MATCH(H$97,'Control - Alt'!$B$9:$B$27,0),MATCH($Q11,'Control - Alt'!$C$32:$O$32,0)),
IFERROR(INDEX(Stockpile!$C$10:$M$26,MATCH(H$97,Stockpile!$B$10:$B$26,0),MATCH($Q11,Stockpile!$C$30:$M$30,0)),
IFERROR(INDEX('Asphalt Silo &amp; Unloading'!$D$10:$M$44,MATCH(H$97,'Asphalt Silo &amp; Unloading'!$B$10:$B$44,0),MATCH($Q11,'Asphalt Silo &amp; Unloading'!$D$49:$M$49,0)),""))))))</f>
        <v/>
      </c>
      <c r="I11" s="590" t="str">
        <f>IFERROR(INDEX('Material Handling'!$C$10:$AH$33,MATCH(I$97,Material_Handling[Data],0),MATCH($Q11,'Material Handling'!$C$40:$AH$40,0)), IFERROR(INDEX('Drop Point'!$B$13:$M$36,MATCH(I$97,'Drop Point'!$B$13:$B$37,0),MATCH($Q11,'Drop Point'!$B$41:$M$41,0)),
IFERROR(INDEX('Control - Grain dscf'!$C$11:$N$27,MATCH(I$97,'Control - Grain dscf'!$B$11:$B$27,0),MATCH($Q11,'Control - Grain dscf'!$C$32:$N$32,0)),
IFERROR(INDEX('Control - Alt'!$C$9:$O$27,MATCH(I$97,'Control - Alt'!$B$9:$B$27,0),MATCH($Q11,'Control - Alt'!$C$32:$O$32,0)),
IFERROR(INDEX(Stockpile!$C$10:$M$26,MATCH(I$97,Stockpile!$B$10:$B$26,0),MATCH($Q11,Stockpile!$C$30:$M$30,0)),
IFERROR(INDEX('Asphalt Silo &amp; Unloading'!$D$10:$M$44,MATCH(I$97,'Asphalt Silo &amp; Unloading'!$B$10:$B$44,0),MATCH($Q11,'Asphalt Silo &amp; Unloading'!$D$49:$M$49,0)),""))))))</f>
        <v/>
      </c>
      <c r="J11" s="590" t="str">
        <f>IFERROR(INDEX('Material Handling'!$C$10:$AH$33,MATCH(J$97,Material_Handling[Data],0),MATCH($Q11,'Material Handling'!$C$40:$AH$40,0)), IFERROR(INDEX('Drop Point'!$B$13:$M$36,MATCH(J$97,'Drop Point'!$B$13:$B$37,0),MATCH($Q11,'Drop Point'!$B$41:$M$41,0)),
IFERROR(INDEX('Control - Grain dscf'!$C$11:$N$27,MATCH(J$97,'Control - Grain dscf'!$B$11:$B$27,0),MATCH($Q11,'Control - Grain dscf'!$C$32:$N$32,0)),
IFERROR(INDEX('Control - Alt'!$C$9:$O$27,MATCH(J$97,'Control - Alt'!$B$9:$B$27,0),MATCH($Q11,'Control - Alt'!$C$32:$O$32,0)),
IFERROR(INDEX(Stockpile!$C$10:$M$26,MATCH(J$97,Stockpile!$B$10:$B$26,0),MATCH($Q11,Stockpile!$C$30:$M$30,0)),
IFERROR(INDEX('Asphalt Silo &amp; Unloading'!$D$10:$M$44,MATCH(J$97,'Asphalt Silo &amp; Unloading'!$B$10:$B$44,0),MATCH($Q11,'Asphalt Silo &amp; Unloading'!$D$49:$M$49,0)),""))))))</f>
        <v/>
      </c>
      <c r="K11" s="590" t="str">
        <f>IFERROR(INDEX('Material Handling'!$C$10:$AH$33,MATCH(K$97,Material_Handling[Data],0),MATCH($Q11,'Material Handling'!$C$40:$AH$40,0)), IFERROR(INDEX('Drop Point'!$B$13:$M$36,MATCH(K$97,'Drop Point'!$B$13:$B$37,0),MATCH($Q11,'Drop Point'!$B$41:$M$41,0)),
IFERROR(INDEX('Control - Grain dscf'!$C$11:$N$27,MATCH(K$97,'Control - Grain dscf'!$B$11:$B$27,0),MATCH($Q11,'Control - Grain dscf'!$C$32:$N$32,0)),
IFERROR(INDEX('Control - Alt'!$C$9:$O$27,MATCH(K$97,'Control - Alt'!$B$9:$B$27,0),MATCH($Q11,'Control - Alt'!$C$32:$O$32,0)),
IFERROR(INDEX(Stockpile!$C$10:$M$26,MATCH(K$97,Stockpile!$B$10:$B$26,0),MATCH($Q11,Stockpile!$C$30:$M$30,0)),
IFERROR(INDEX('Asphalt Silo &amp; Unloading'!$D$10:$M$44,MATCH(K$97,'Asphalt Silo &amp; Unloading'!$B$10:$B$44,0),MATCH($Q11,'Asphalt Silo &amp; Unloading'!$D$49:$M$49,0)),""))))))</f>
        <v/>
      </c>
      <c r="L11" s="590" t="str">
        <f>IFERROR(INDEX('Material Handling'!$C$10:$AH$33,MATCH(L$97,Material_Handling[Data],0),MATCH($Q11,'Material Handling'!$C$40:$AH$40,0)), IFERROR(INDEX('Drop Point'!$B$13:$M$36,MATCH(L$97,'Drop Point'!$B$13:$B$37,0),MATCH($Q11,'Drop Point'!$B$41:$M$41,0)),
IFERROR(INDEX('Control - Grain dscf'!$C$11:$N$27,MATCH(L$97,'Control - Grain dscf'!$B$11:$B$27,0),MATCH($Q11,'Control - Grain dscf'!$C$32:$N$32,0)),
IFERROR(INDEX('Control - Alt'!$C$9:$O$27,MATCH(L$97,'Control - Alt'!$B$9:$B$27,0),MATCH($Q11,'Control - Alt'!$C$32:$O$32,0)),
IFERROR(INDEX(Stockpile!$C$10:$M$26,MATCH(L$97,Stockpile!$B$10:$B$26,0),MATCH($Q11,Stockpile!$C$30:$M$30,0)),
IFERROR(INDEX('Asphalt Silo &amp; Unloading'!$D$10:$M$44,MATCH(L$97,'Asphalt Silo &amp; Unloading'!$B$10:$B$44,0),MATCH($Q11,'Asphalt Silo &amp; Unloading'!$D$49:$M$49,0)),""))))))</f>
        <v/>
      </c>
      <c r="M11" s="590" t="str">
        <f>IFERROR(INDEX('Material Handling'!$C$10:$AH$33,MATCH(M$97,Material_Handling[Data],0),MATCH($Q11,'Material Handling'!$C$40:$AH$40,0)), IFERROR(INDEX('Drop Point'!$B$13:$M$36,MATCH(M$97,'Drop Point'!$B$13:$B$37,0),MATCH($Q11,'Drop Point'!$B$41:$M$41,0)),
IFERROR(INDEX('Control - Grain dscf'!$C$11:$N$27,MATCH(M$97,'Control - Grain dscf'!$B$11:$B$27,0),MATCH($Q11,'Control - Grain dscf'!$C$32:$N$32,0)),
IFERROR(INDEX('Control - Alt'!$C$9:$O$27,MATCH(M$97,'Control - Alt'!$B$9:$B$27,0),MATCH($Q11,'Control - Alt'!$C$32:$O$32,0)),
IFERROR(INDEX(Stockpile!$C$10:$M$26,MATCH(M$97,Stockpile!$B$10:$B$26,0),MATCH($Q11,Stockpile!$C$30:$M$30,0)),
IFERROR(INDEX('Asphalt Silo &amp; Unloading'!$D$10:$M$44,MATCH(M$97,'Asphalt Silo &amp; Unloading'!$B$10:$B$44,0),MATCH($Q11,'Asphalt Silo &amp; Unloading'!$D$49:$M$49,0)),""))))))</f>
        <v/>
      </c>
      <c r="N11" s="590" t="str">
        <f>IFERROR(INDEX('Material Handling'!$C$10:$AH$33,MATCH(N$97,Material_Handling[Data],0),MATCH($Q11,'Material Handling'!$C$40:$AH$40,0)), IFERROR(INDEX('Drop Point'!$B$13:$M$36,MATCH(N$97,'Drop Point'!$B$13:$B$37,0),MATCH($Q11,'Drop Point'!$B$41:$M$41,0)),
IFERROR(INDEX('Control - Grain dscf'!$C$11:$N$27,MATCH(N$97,'Control - Grain dscf'!$B$11:$B$27,0),MATCH($Q11,'Control - Grain dscf'!$C$32:$N$32,0)),
IFERROR(INDEX('Control - Alt'!$C$9:$O$27,MATCH(N$97,'Control - Alt'!$B$9:$B$27,0),MATCH($Q11,'Control - Alt'!$C$32:$O$32,0)),
IFERROR(INDEX(Stockpile!$C$10:$M$26,MATCH(N$97,Stockpile!$B$10:$B$26,0),MATCH($Q11,Stockpile!$C$30:$M$30,0)),
IFERROR(INDEX('Asphalt Silo &amp; Unloading'!$D$10:$M$44,MATCH(N$97,'Asphalt Silo &amp; Unloading'!$B$10:$B$44,0),MATCH($Q11,'Asphalt Silo &amp; Unloading'!$D$49:$M$49,0)),""))))))</f>
        <v/>
      </c>
      <c r="O11" s="591" t="str">
        <f>IFERROR(INDEX('Material Handling'!$C$10:$AH$33,MATCH(O$97,Material_Handling[Data],0),MATCH($Q11,'Material Handling'!$C$40:$AH$40,0)), IFERROR(INDEX('Drop Point'!$B$13:$M$36,MATCH(O$97,'Drop Point'!$B$13:$B$37,0),MATCH($Q11,'Drop Point'!$B$41:$M$41,0)),
IFERROR(INDEX('Control - Grain dscf'!$C$11:$N$27,MATCH(O$97,'Control - Grain dscf'!$B$11:$B$27,0),MATCH($Q11,'Control - Grain dscf'!$C$32:$N$32,0)),
IFERROR(INDEX('Control - Alt'!$C$9:$O$27,MATCH(O$97,'Control - Alt'!$B$9:$B$27,0),MATCH($Q11,'Control - Alt'!$C$32:$O$32,0)),
IFERROR(INDEX(Stockpile!$C$10:$M$26,MATCH(O$97,Stockpile!$B$10:$B$26,0),MATCH($Q11,Stockpile!$C$30:$M$30,0)),
IFERROR(INDEX('Asphalt Silo &amp; Unloading'!$D$10:$M$44,MATCH(O$97,'Asphalt Silo &amp; Unloading'!$B$10:$B$44,0),MATCH($Q11,'Asphalt Silo &amp; Unloading'!$D$49:$M$49,0)),""))))))</f>
        <v/>
      </c>
      <c r="Q11" s="131">
        <f t="shared" si="0"/>
        <v>3</v>
      </c>
    </row>
    <row r="12" spans="1:17" ht="20.100000000000001" customHeight="1">
      <c r="A12" s="293" t="str">
        <f>IFERROR(INDEX('Material Handling'!$C$10:$AH$33,MATCH(A$97,Material_Handling[Data],0),MATCH($Q12,'Material Handling'!$C$40:$AH$40,0)), IFERROR(INDEX('Drop Point'!$B$13:$M$36,MATCH(A$97,'Drop Point'!$B$13:$B$37,0),MATCH($Q12,'Drop Point'!$B$41:$M$41,0)),
IFERROR(INDEX('Control - Grain dscf'!$C$11:$N$27,MATCH(A$97,'Control - Grain dscf'!$B$11:$B$27,0),MATCH($Q12,'Control - Grain dscf'!$C$32:$N$32,0)),
IFERROR(INDEX('Control - Alt'!$C$9:$O$27,MATCH(A$97,'Control - Alt'!$B$9:$B$27,0),MATCH($Q12,'Control - Alt'!$C$32:$O$32,0)),
IFERROR(INDEX(Stockpile!$C$10:$M$26,MATCH(A$97,Stockpile!$B$10:$B$26,0),MATCH($Q12,Stockpile!$C$30:$M$30,0)),
IFERROR(INDEX('Asphalt Silo &amp; Unloading'!$D$10:$M$44,MATCH(A$97,'Asphalt Silo &amp; Unloading'!$B$10:$B$44,0),MATCH($Q12,'Asphalt Silo &amp; Unloading'!$D$49:$M$49,0)),""))))))</f>
        <v/>
      </c>
      <c r="B12" s="135" t="str">
        <f>IFERROR(INDEX('Material Handling'!$C$10:$AH$33,MATCH(B$97,Material_Handling[Data],0),MATCH($Q12,'Material Handling'!$C$40:$AH$40,0)), IFERROR(INDEX('Drop Point'!$B$13:$M$36,MATCH(B$97,'Drop Point'!$B$13:$B$37,0),MATCH($Q12,'Drop Point'!$B$41:$M$41,0)),
IFERROR(INDEX('Control - Grain dscf'!$C$11:$N$27,MATCH(B$97,'Control - Grain dscf'!$B$11:$B$27,0),MATCH($Q12,'Control - Grain dscf'!$C$32:$N$32,0)),
IFERROR(INDEX('Control - Alt'!$C$9:$O$27,MATCH(B$97,'Control - Alt'!$B$9:$B$27,0),MATCH($Q12,'Control - Alt'!$C$32:$O$32,0)),
IFERROR(INDEX(Stockpile!$C$10:$M$26,MATCH(B$97,Stockpile!$B$10:$B$26,0),MATCH($Q12,Stockpile!$C$30:$M$30,0)),
IFERROR(INDEX('Asphalt Silo &amp; Unloading'!$D$10:$M$44,MATCH(B$97,'Asphalt Silo &amp; Unloading'!$B$10:$B$44,0),MATCH($Q12,'Asphalt Silo &amp; Unloading'!$D$49:$M$49,0)),""))))))</f>
        <v/>
      </c>
      <c r="C12" s="135" t="str">
        <f>IFERROR(INDEX('Material Handling'!$C$10:$AH$33,MATCH(C$97,Material_Handling[Data],0),MATCH($Q12,'Material Handling'!$C$40:$AH$40,0)), IFERROR(INDEX('Drop Point'!$B$13:$M$36,MATCH(C$97,'Drop Point'!$B$13:$B$37,0),MATCH($Q12,'Drop Point'!$B$41:$M$41,0)),
IFERROR(INDEX('Control - Grain dscf'!$C$11:$N$27,MATCH(C$97,'Control - Grain dscf'!$B$11:$B$27,0),MATCH($Q12,'Control - Grain dscf'!$C$32:$N$32,0)),
IFERROR(INDEX('Control - Alt'!$C$9:$O$27,MATCH(C$97,'Control - Alt'!$B$9:$B$27,0),MATCH($Q12,'Control - Alt'!$C$32:$O$32,0)),
IFERROR(INDEX(Stockpile!$C$10:$M$26,MATCH(C$97,Stockpile!$B$10:$B$26,0),MATCH($Q12,Stockpile!$C$30:$M$30,0)),
IFERROR(INDEX('Asphalt Silo &amp; Unloading'!$D$10:$M$44,MATCH(C$97,'Asphalt Silo &amp; Unloading'!$B$10:$B$44,0),MATCH($Q12,'Asphalt Silo &amp; Unloading'!$D$49:$M$49,0)),""))))))</f>
        <v/>
      </c>
      <c r="D12" s="135" t="str">
        <f>IFERROR(INDEX('Material Handling'!$C$10:$AH$33,MATCH(D$97,Material_Handling[Data],0),MATCH($Q12,'Material Handling'!$C$40:$AH$40,0)), IFERROR(INDEX('Drop Point'!$B$13:$M$36,MATCH(D$97,'Drop Point'!$B$13:$B$37,0),MATCH($Q12,'Drop Point'!$B$41:$M$41,0)),
IFERROR(INDEX('Control - Grain dscf'!$C$11:$N$27,MATCH(D$97,'Control - Grain dscf'!$B$11:$B$27,0),MATCH($Q12,'Control - Grain dscf'!$C$32:$N$32,0)),
IFERROR(INDEX('Control - Alt'!$C$9:$O$27,MATCH(D$97,'Control - Alt'!$B$9:$B$27,0),MATCH($Q12,'Control - Alt'!$C$32:$O$32,0)),
IFERROR(INDEX(Stockpile!$C$10:$M$26,MATCH(D$97,Stockpile!$B$10:$B$26,0),MATCH($Q12,Stockpile!$C$30:$M$30,0)),
IFERROR(INDEX('Asphalt Silo &amp; Unloading'!$D$10:$M$44,MATCH(D$97,'Asphalt Silo &amp; Unloading'!$B$10:$B$44,0),MATCH($Q12,'Asphalt Silo &amp; Unloading'!$D$49:$M$49,0)),""))))))</f>
        <v/>
      </c>
      <c r="E12" s="620" t="str">
        <f>IFERROR(INDEX('Material Handling'!$C$10:$AH$33,MATCH(E$97,Material_Handling[Data],0),MATCH($Q12,'Material Handling'!$C$40:$AH$40,0)), IFERROR(INDEX('Drop Point'!$B$13:$M$36,MATCH(E$97,'Drop Point'!$B$13:$B$37,0),MATCH($Q12,'Drop Point'!$B$41:$M$41,0)),
IFERROR(INDEX('Control - Grain dscf'!$C$11:$N$27,MATCH(E$97,'Control - Grain dscf'!$B$11:$B$27,0),MATCH($Q12,'Control - Grain dscf'!$C$32:$N$32,0)),
IFERROR(INDEX('Control - Alt'!$C$9:$O$27,MATCH(E$97,'Control - Alt'!$B$9:$B$27,0),MATCH($Q12,'Control - Alt'!$C$32:$O$32,0)),
IFERROR(INDEX(Stockpile!$C$10:$M$26,MATCH(E$97,Stockpile!$B$10:$B$26,0),MATCH($Q12,Stockpile!$C$30:$M$30,0)),
IFERROR(INDEX('Asphalt Silo &amp; Unloading'!$D$10:$M$44,MATCH(E$97,'Asphalt Silo &amp; Unloading'!$B$10:$B$44,0),MATCH($Q12,'Asphalt Silo &amp; Unloading'!$D$49:$M$49,0)),""))))))</f>
        <v/>
      </c>
      <c r="F12" s="590" t="str">
        <f>IFERROR(INDEX('Material Handling'!$C$10:$AH$33,MATCH(F$97,Material_Handling[Data],0),MATCH($Q12,'Material Handling'!$C$40:$AH$40,0)), IFERROR(INDEX('Drop Point'!$B$13:$M$36,MATCH(F$97,'Drop Point'!$B$13:$B$37,0),MATCH($Q12,'Drop Point'!$B$41:$M$41,0)),
IFERROR(INDEX('Control - Grain dscf'!$C$11:$N$27,MATCH(F$97,'Control - Grain dscf'!$B$11:$B$27,0),MATCH($Q12,'Control - Grain dscf'!$C$32:$N$32,0)),
IFERROR(INDEX('Control - Alt'!$C$9:$O$27,MATCH(F$97,'Control - Alt'!$B$9:$B$27,0),MATCH($Q12,'Control - Alt'!$C$32:$O$32,0)),
IFERROR(INDEX(Stockpile!$C$10:$M$26,MATCH(F$97,Stockpile!$B$10:$B$26,0),MATCH($Q12,Stockpile!$C$30:$M$30,0)),
IFERROR(INDEX('Asphalt Silo &amp; Unloading'!$D$10:$M$44,MATCH(F$97,'Asphalt Silo &amp; Unloading'!$B$10:$B$44,0),MATCH($Q12,'Asphalt Silo &amp; Unloading'!$D$49:$M$49,0)),""))))))</f>
        <v/>
      </c>
      <c r="G12" s="590" t="str">
        <f>IFERROR(INDEX('Material Handling'!$C$10:$AH$33,MATCH(G$97,Material_Handling[Data],0),MATCH($Q12,'Material Handling'!$C$40:$AH$40,0)), IFERROR(INDEX('Drop Point'!$B$13:$M$36,MATCH(G$97,'Drop Point'!$B$13:$B$37,0),MATCH($Q12,'Drop Point'!$B$41:$M$41,0)),
IFERROR(INDEX('Control - Grain dscf'!$C$11:$N$27,MATCH(G$97,'Control - Grain dscf'!$B$11:$B$27,0),MATCH($Q12,'Control - Grain dscf'!$C$32:$N$32,0)),
IFERROR(INDEX('Control - Alt'!$C$9:$O$27,MATCH(G$97,'Control - Alt'!$B$9:$B$27,0),MATCH($Q12,'Control - Alt'!$C$32:$O$32,0)),
IFERROR(INDEX(Stockpile!$C$10:$M$26,MATCH(G$97,Stockpile!$B$10:$B$26,0),MATCH($Q12,Stockpile!$C$30:$M$30,0)),
IFERROR(INDEX('Asphalt Silo &amp; Unloading'!$D$10:$M$44,MATCH(G$97,'Asphalt Silo &amp; Unloading'!$B$10:$B$44,0),MATCH($Q12,'Asphalt Silo &amp; Unloading'!$D$49:$M$49,0)),""))))))</f>
        <v/>
      </c>
      <c r="H12" s="590" t="str">
        <f>IFERROR(INDEX('Material Handling'!$C$10:$AH$33,MATCH(H$97,Material_Handling[Data],0),MATCH($Q12,'Material Handling'!$C$40:$AH$40,0)), IFERROR(INDEX('Drop Point'!$B$13:$M$36,MATCH(H$97,'Drop Point'!$B$13:$B$37,0),MATCH($Q12,'Drop Point'!$B$41:$M$41,0)),
IFERROR(INDEX('Control - Grain dscf'!$C$11:$N$27,MATCH(H$97,'Control - Grain dscf'!$B$11:$B$27,0),MATCH($Q12,'Control - Grain dscf'!$C$32:$N$32,0)),
IFERROR(INDEX('Control - Alt'!$C$9:$O$27,MATCH(H$97,'Control - Alt'!$B$9:$B$27,0),MATCH($Q12,'Control - Alt'!$C$32:$O$32,0)),
IFERROR(INDEX(Stockpile!$C$10:$M$26,MATCH(H$97,Stockpile!$B$10:$B$26,0),MATCH($Q12,Stockpile!$C$30:$M$30,0)),
IFERROR(INDEX('Asphalt Silo &amp; Unloading'!$D$10:$M$44,MATCH(H$97,'Asphalt Silo &amp; Unloading'!$B$10:$B$44,0),MATCH($Q12,'Asphalt Silo &amp; Unloading'!$D$49:$M$49,0)),""))))))</f>
        <v/>
      </c>
      <c r="I12" s="590" t="str">
        <f>IFERROR(INDEX('Material Handling'!$C$10:$AH$33,MATCH(I$97,Material_Handling[Data],0),MATCH($Q12,'Material Handling'!$C$40:$AH$40,0)), IFERROR(INDEX('Drop Point'!$B$13:$M$36,MATCH(I$97,'Drop Point'!$B$13:$B$37,0),MATCH($Q12,'Drop Point'!$B$41:$M$41,0)),
IFERROR(INDEX('Control - Grain dscf'!$C$11:$N$27,MATCH(I$97,'Control - Grain dscf'!$B$11:$B$27,0),MATCH($Q12,'Control - Grain dscf'!$C$32:$N$32,0)),
IFERROR(INDEX('Control - Alt'!$C$9:$O$27,MATCH(I$97,'Control - Alt'!$B$9:$B$27,0),MATCH($Q12,'Control - Alt'!$C$32:$O$32,0)),
IFERROR(INDEX(Stockpile!$C$10:$M$26,MATCH(I$97,Stockpile!$B$10:$B$26,0),MATCH($Q12,Stockpile!$C$30:$M$30,0)),
IFERROR(INDEX('Asphalt Silo &amp; Unloading'!$D$10:$M$44,MATCH(I$97,'Asphalt Silo &amp; Unloading'!$B$10:$B$44,0),MATCH($Q12,'Asphalt Silo &amp; Unloading'!$D$49:$M$49,0)),""))))))</f>
        <v/>
      </c>
      <c r="J12" s="590" t="str">
        <f>IFERROR(INDEX('Material Handling'!$C$10:$AH$33,MATCH(J$97,Material_Handling[Data],0),MATCH($Q12,'Material Handling'!$C$40:$AH$40,0)), IFERROR(INDEX('Drop Point'!$B$13:$M$36,MATCH(J$97,'Drop Point'!$B$13:$B$37,0),MATCH($Q12,'Drop Point'!$B$41:$M$41,0)),
IFERROR(INDEX('Control - Grain dscf'!$C$11:$N$27,MATCH(J$97,'Control - Grain dscf'!$B$11:$B$27,0),MATCH($Q12,'Control - Grain dscf'!$C$32:$N$32,0)),
IFERROR(INDEX('Control - Alt'!$C$9:$O$27,MATCH(J$97,'Control - Alt'!$B$9:$B$27,0),MATCH($Q12,'Control - Alt'!$C$32:$O$32,0)),
IFERROR(INDEX(Stockpile!$C$10:$M$26,MATCH(J$97,Stockpile!$B$10:$B$26,0),MATCH($Q12,Stockpile!$C$30:$M$30,0)),
IFERROR(INDEX('Asphalt Silo &amp; Unloading'!$D$10:$M$44,MATCH(J$97,'Asphalt Silo &amp; Unloading'!$B$10:$B$44,0),MATCH($Q12,'Asphalt Silo &amp; Unloading'!$D$49:$M$49,0)),""))))))</f>
        <v/>
      </c>
      <c r="K12" s="590" t="str">
        <f>IFERROR(INDEX('Material Handling'!$C$10:$AH$33,MATCH(K$97,Material_Handling[Data],0),MATCH($Q12,'Material Handling'!$C$40:$AH$40,0)), IFERROR(INDEX('Drop Point'!$B$13:$M$36,MATCH(K$97,'Drop Point'!$B$13:$B$37,0),MATCH($Q12,'Drop Point'!$B$41:$M$41,0)),
IFERROR(INDEX('Control - Grain dscf'!$C$11:$N$27,MATCH(K$97,'Control - Grain dscf'!$B$11:$B$27,0),MATCH($Q12,'Control - Grain dscf'!$C$32:$N$32,0)),
IFERROR(INDEX('Control - Alt'!$C$9:$O$27,MATCH(K$97,'Control - Alt'!$B$9:$B$27,0),MATCH($Q12,'Control - Alt'!$C$32:$O$32,0)),
IFERROR(INDEX(Stockpile!$C$10:$M$26,MATCH(K$97,Stockpile!$B$10:$B$26,0),MATCH($Q12,Stockpile!$C$30:$M$30,0)),
IFERROR(INDEX('Asphalt Silo &amp; Unloading'!$D$10:$M$44,MATCH(K$97,'Asphalt Silo &amp; Unloading'!$B$10:$B$44,0),MATCH($Q12,'Asphalt Silo &amp; Unloading'!$D$49:$M$49,0)),""))))))</f>
        <v/>
      </c>
      <c r="L12" s="590" t="str">
        <f>IFERROR(INDEX('Material Handling'!$C$10:$AH$33,MATCH(L$97,Material_Handling[Data],0),MATCH($Q12,'Material Handling'!$C$40:$AH$40,0)), IFERROR(INDEX('Drop Point'!$B$13:$M$36,MATCH(L$97,'Drop Point'!$B$13:$B$37,0),MATCH($Q12,'Drop Point'!$B$41:$M$41,0)),
IFERROR(INDEX('Control - Grain dscf'!$C$11:$N$27,MATCH(L$97,'Control - Grain dscf'!$B$11:$B$27,0),MATCH($Q12,'Control - Grain dscf'!$C$32:$N$32,0)),
IFERROR(INDEX('Control - Alt'!$C$9:$O$27,MATCH(L$97,'Control - Alt'!$B$9:$B$27,0),MATCH($Q12,'Control - Alt'!$C$32:$O$32,0)),
IFERROR(INDEX(Stockpile!$C$10:$M$26,MATCH(L$97,Stockpile!$B$10:$B$26,0),MATCH($Q12,Stockpile!$C$30:$M$30,0)),
IFERROR(INDEX('Asphalt Silo &amp; Unloading'!$D$10:$M$44,MATCH(L$97,'Asphalt Silo &amp; Unloading'!$B$10:$B$44,0),MATCH($Q12,'Asphalt Silo &amp; Unloading'!$D$49:$M$49,0)),""))))))</f>
        <v/>
      </c>
      <c r="M12" s="590" t="str">
        <f>IFERROR(INDEX('Material Handling'!$C$10:$AH$33,MATCH(M$97,Material_Handling[Data],0),MATCH($Q12,'Material Handling'!$C$40:$AH$40,0)), IFERROR(INDEX('Drop Point'!$B$13:$M$36,MATCH(M$97,'Drop Point'!$B$13:$B$37,0),MATCH($Q12,'Drop Point'!$B$41:$M$41,0)),
IFERROR(INDEX('Control - Grain dscf'!$C$11:$N$27,MATCH(M$97,'Control - Grain dscf'!$B$11:$B$27,0),MATCH($Q12,'Control - Grain dscf'!$C$32:$N$32,0)),
IFERROR(INDEX('Control - Alt'!$C$9:$O$27,MATCH(M$97,'Control - Alt'!$B$9:$B$27,0),MATCH($Q12,'Control - Alt'!$C$32:$O$32,0)),
IFERROR(INDEX(Stockpile!$C$10:$M$26,MATCH(M$97,Stockpile!$B$10:$B$26,0),MATCH($Q12,Stockpile!$C$30:$M$30,0)),
IFERROR(INDEX('Asphalt Silo &amp; Unloading'!$D$10:$M$44,MATCH(M$97,'Asphalt Silo &amp; Unloading'!$B$10:$B$44,0),MATCH($Q12,'Asphalt Silo &amp; Unloading'!$D$49:$M$49,0)),""))))))</f>
        <v/>
      </c>
      <c r="N12" s="590" t="str">
        <f>IFERROR(INDEX('Material Handling'!$C$10:$AH$33,MATCH(N$97,Material_Handling[Data],0),MATCH($Q12,'Material Handling'!$C$40:$AH$40,0)), IFERROR(INDEX('Drop Point'!$B$13:$M$36,MATCH(N$97,'Drop Point'!$B$13:$B$37,0),MATCH($Q12,'Drop Point'!$B$41:$M$41,0)),
IFERROR(INDEX('Control - Grain dscf'!$C$11:$N$27,MATCH(N$97,'Control - Grain dscf'!$B$11:$B$27,0),MATCH($Q12,'Control - Grain dscf'!$C$32:$N$32,0)),
IFERROR(INDEX('Control - Alt'!$C$9:$O$27,MATCH(N$97,'Control - Alt'!$B$9:$B$27,0),MATCH($Q12,'Control - Alt'!$C$32:$O$32,0)),
IFERROR(INDEX(Stockpile!$C$10:$M$26,MATCH(N$97,Stockpile!$B$10:$B$26,0),MATCH($Q12,Stockpile!$C$30:$M$30,0)),
IFERROR(INDEX('Asphalt Silo &amp; Unloading'!$D$10:$M$44,MATCH(N$97,'Asphalt Silo &amp; Unloading'!$B$10:$B$44,0),MATCH($Q12,'Asphalt Silo &amp; Unloading'!$D$49:$M$49,0)),""))))))</f>
        <v/>
      </c>
      <c r="O12" s="591" t="str">
        <f>IFERROR(INDEX('Material Handling'!$C$10:$AH$33,MATCH(O$97,Material_Handling[Data],0),MATCH($Q12,'Material Handling'!$C$40:$AH$40,0)), IFERROR(INDEX('Drop Point'!$B$13:$M$36,MATCH(O$97,'Drop Point'!$B$13:$B$37,0),MATCH($Q12,'Drop Point'!$B$41:$M$41,0)),
IFERROR(INDEX('Control - Grain dscf'!$C$11:$N$27,MATCH(O$97,'Control - Grain dscf'!$B$11:$B$27,0),MATCH($Q12,'Control - Grain dscf'!$C$32:$N$32,0)),
IFERROR(INDEX('Control - Alt'!$C$9:$O$27,MATCH(O$97,'Control - Alt'!$B$9:$B$27,0),MATCH($Q12,'Control - Alt'!$C$32:$O$32,0)),
IFERROR(INDEX(Stockpile!$C$10:$M$26,MATCH(O$97,Stockpile!$B$10:$B$26,0),MATCH($Q12,Stockpile!$C$30:$M$30,0)),
IFERROR(INDEX('Asphalt Silo &amp; Unloading'!$D$10:$M$44,MATCH(O$97,'Asphalt Silo &amp; Unloading'!$B$10:$B$44,0),MATCH($Q12,'Asphalt Silo &amp; Unloading'!$D$49:$M$49,0)),""))))))</f>
        <v/>
      </c>
      <c r="Q12" s="131">
        <f t="shared" si="0"/>
        <v>4</v>
      </c>
    </row>
    <row r="13" spans="1:17" ht="20.100000000000001" customHeight="1">
      <c r="A13" s="293" t="str">
        <f>IFERROR(INDEX('Material Handling'!$C$10:$AH$33,MATCH(A$97,Material_Handling[Data],0),MATCH($Q13,'Material Handling'!$C$40:$AH$40,0)), IFERROR(INDEX('Drop Point'!$B$13:$M$36,MATCH(A$97,'Drop Point'!$B$13:$B$37,0),MATCH($Q13,'Drop Point'!$B$41:$M$41,0)),
IFERROR(INDEX('Control - Grain dscf'!$C$11:$N$27,MATCH(A$97,'Control - Grain dscf'!$B$11:$B$27,0),MATCH($Q13,'Control - Grain dscf'!$C$32:$N$32,0)),
IFERROR(INDEX('Control - Alt'!$C$9:$O$27,MATCH(A$97,'Control - Alt'!$B$9:$B$27,0),MATCH($Q13,'Control - Alt'!$C$32:$O$32,0)),
IFERROR(INDEX(Stockpile!$C$10:$M$26,MATCH(A$97,Stockpile!$B$10:$B$26,0),MATCH($Q13,Stockpile!$C$30:$M$30,0)),
IFERROR(INDEX('Asphalt Silo &amp; Unloading'!$D$10:$M$44,MATCH(A$97,'Asphalt Silo &amp; Unloading'!$B$10:$B$44,0),MATCH($Q13,'Asphalt Silo &amp; Unloading'!$D$49:$M$49,0)),""))))))</f>
        <v/>
      </c>
      <c r="B13" s="135" t="str">
        <f>IFERROR(INDEX('Material Handling'!$C$10:$AH$33,MATCH(B$97,Material_Handling[Data],0),MATCH($Q13,'Material Handling'!$C$40:$AH$40,0)), IFERROR(INDEX('Drop Point'!$B$13:$M$36,MATCH(B$97,'Drop Point'!$B$13:$B$37,0),MATCH($Q13,'Drop Point'!$B$41:$M$41,0)),
IFERROR(INDEX('Control - Grain dscf'!$C$11:$N$27,MATCH(B$97,'Control - Grain dscf'!$B$11:$B$27,0),MATCH($Q13,'Control - Grain dscf'!$C$32:$N$32,0)),
IFERROR(INDEX('Control - Alt'!$C$9:$O$27,MATCH(B$97,'Control - Alt'!$B$9:$B$27,0),MATCH($Q13,'Control - Alt'!$C$32:$O$32,0)),
IFERROR(INDEX(Stockpile!$C$10:$M$26,MATCH(B$97,Stockpile!$B$10:$B$26,0),MATCH($Q13,Stockpile!$C$30:$M$30,0)),
IFERROR(INDEX('Asphalt Silo &amp; Unloading'!$D$10:$M$44,MATCH(B$97,'Asphalt Silo &amp; Unloading'!$B$10:$B$44,0),MATCH($Q13,'Asphalt Silo &amp; Unloading'!$D$49:$M$49,0)),""))))))</f>
        <v/>
      </c>
      <c r="C13" s="135" t="str">
        <f>IFERROR(INDEX('Material Handling'!$C$10:$AH$33,MATCH(C$97,Material_Handling[Data],0),MATCH($Q13,'Material Handling'!$C$40:$AH$40,0)), IFERROR(INDEX('Drop Point'!$B$13:$M$36,MATCH(C$97,'Drop Point'!$B$13:$B$37,0),MATCH($Q13,'Drop Point'!$B$41:$M$41,0)),
IFERROR(INDEX('Control - Grain dscf'!$C$11:$N$27,MATCH(C$97,'Control - Grain dscf'!$B$11:$B$27,0),MATCH($Q13,'Control - Grain dscf'!$C$32:$N$32,0)),
IFERROR(INDEX('Control - Alt'!$C$9:$O$27,MATCH(C$97,'Control - Alt'!$B$9:$B$27,0),MATCH($Q13,'Control - Alt'!$C$32:$O$32,0)),
IFERROR(INDEX(Stockpile!$C$10:$M$26,MATCH(C$97,Stockpile!$B$10:$B$26,0),MATCH($Q13,Stockpile!$C$30:$M$30,0)),
IFERROR(INDEX('Asphalt Silo &amp; Unloading'!$D$10:$M$44,MATCH(C$97,'Asphalt Silo &amp; Unloading'!$B$10:$B$44,0),MATCH($Q13,'Asphalt Silo &amp; Unloading'!$D$49:$M$49,0)),""))))))</f>
        <v/>
      </c>
      <c r="D13" s="135" t="str">
        <f>IFERROR(INDEX('Material Handling'!$C$10:$AH$33,MATCH(D$97,Material_Handling[Data],0),MATCH($Q13,'Material Handling'!$C$40:$AH$40,0)), IFERROR(INDEX('Drop Point'!$B$13:$M$36,MATCH(D$97,'Drop Point'!$B$13:$B$37,0),MATCH($Q13,'Drop Point'!$B$41:$M$41,0)),
IFERROR(INDEX('Control - Grain dscf'!$C$11:$N$27,MATCH(D$97,'Control - Grain dscf'!$B$11:$B$27,0),MATCH($Q13,'Control - Grain dscf'!$C$32:$N$32,0)),
IFERROR(INDEX('Control - Alt'!$C$9:$O$27,MATCH(D$97,'Control - Alt'!$B$9:$B$27,0),MATCH($Q13,'Control - Alt'!$C$32:$O$32,0)),
IFERROR(INDEX(Stockpile!$C$10:$M$26,MATCH(D$97,Stockpile!$B$10:$B$26,0),MATCH($Q13,Stockpile!$C$30:$M$30,0)),
IFERROR(INDEX('Asphalt Silo &amp; Unloading'!$D$10:$M$44,MATCH(D$97,'Asphalt Silo &amp; Unloading'!$B$10:$B$44,0),MATCH($Q13,'Asphalt Silo &amp; Unloading'!$D$49:$M$49,0)),""))))))</f>
        <v/>
      </c>
      <c r="E13" s="620" t="str">
        <f>IFERROR(INDEX('Material Handling'!$C$10:$AH$33,MATCH(E$97,Material_Handling[Data],0),MATCH($Q13,'Material Handling'!$C$40:$AH$40,0)), IFERROR(INDEX('Drop Point'!$B$13:$M$36,MATCH(E$97,'Drop Point'!$B$13:$B$37,0),MATCH($Q13,'Drop Point'!$B$41:$M$41,0)),
IFERROR(INDEX('Control - Grain dscf'!$C$11:$N$27,MATCH(E$97,'Control - Grain dscf'!$B$11:$B$27,0),MATCH($Q13,'Control - Grain dscf'!$C$32:$N$32,0)),
IFERROR(INDEX('Control - Alt'!$C$9:$O$27,MATCH(E$97,'Control - Alt'!$B$9:$B$27,0),MATCH($Q13,'Control - Alt'!$C$32:$O$32,0)),
IFERROR(INDEX(Stockpile!$C$10:$M$26,MATCH(E$97,Stockpile!$B$10:$B$26,0),MATCH($Q13,Stockpile!$C$30:$M$30,0)),
IFERROR(INDEX('Asphalt Silo &amp; Unloading'!$D$10:$M$44,MATCH(E$97,'Asphalt Silo &amp; Unloading'!$B$10:$B$44,0),MATCH($Q13,'Asphalt Silo &amp; Unloading'!$D$49:$M$49,0)),""))))))</f>
        <v/>
      </c>
      <c r="F13" s="590" t="str">
        <f>IFERROR(INDEX('Material Handling'!$C$10:$AH$33,MATCH(F$97,Material_Handling[Data],0),MATCH($Q13,'Material Handling'!$C$40:$AH$40,0)), IFERROR(INDEX('Drop Point'!$B$13:$M$36,MATCH(F$97,'Drop Point'!$B$13:$B$37,0),MATCH($Q13,'Drop Point'!$B$41:$M$41,0)),
IFERROR(INDEX('Control - Grain dscf'!$C$11:$N$27,MATCH(F$97,'Control - Grain dscf'!$B$11:$B$27,0),MATCH($Q13,'Control - Grain dscf'!$C$32:$N$32,0)),
IFERROR(INDEX('Control - Alt'!$C$9:$O$27,MATCH(F$97,'Control - Alt'!$B$9:$B$27,0),MATCH($Q13,'Control - Alt'!$C$32:$O$32,0)),
IFERROR(INDEX(Stockpile!$C$10:$M$26,MATCH(F$97,Stockpile!$B$10:$B$26,0),MATCH($Q13,Stockpile!$C$30:$M$30,0)),
IFERROR(INDEX('Asphalt Silo &amp; Unloading'!$D$10:$M$44,MATCH(F$97,'Asphalt Silo &amp; Unloading'!$B$10:$B$44,0),MATCH($Q13,'Asphalt Silo &amp; Unloading'!$D$49:$M$49,0)),""))))))</f>
        <v/>
      </c>
      <c r="G13" s="590" t="str">
        <f>IFERROR(INDEX('Material Handling'!$C$10:$AH$33,MATCH(G$97,Material_Handling[Data],0),MATCH($Q13,'Material Handling'!$C$40:$AH$40,0)), IFERROR(INDEX('Drop Point'!$B$13:$M$36,MATCH(G$97,'Drop Point'!$B$13:$B$37,0),MATCH($Q13,'Drop Point'!$B$41:$M$41,0)),
IFERROR(INDEX('Control - Grain dscf'!$C$11:$N$27,MATCH(G$97,'Control - Grain dscf'!$B$11:$B$27,0),MATCH($Q13,'Control - Grain dscf'!$C$32:$N$32,0)),
IFERROR(INDEX('Control - Alt'!$C$9:$O$27,MATCH(G$97,'Control - Alt'!$B$9:$B$27,0),MATCH($Q13,'Control - Alt'!$C$32:$O$32,0)),
IFERROR(INDEX(Stockpile!$C$10:$M$26,MATCH(G$97,Stockpile!$B$10:$B$26,0),MATCH($Q13,Stockpile!$C$30:$M$30,0)),
IFERROR(INDEX('Asphalt Silo &amp; Unloading'!$D$10:$M$44,MATCH(G$97,'Asphalt Silo &amp; Unloading'!$B$10:$B$44,0),MATCH($Q13,'Asphalt Silo &amp; Unloading'!$D$49:$M$49,0)),""))))))</f>
        <v/>
      </c>
      <c r="H13" s="590" t="str">
        <f>IFERROR(INDEX('Material Handling'!$C$10:$AH$33,MATCH(H$97,Material_Handling[Data],0),MATCH($Q13,'Material Handling'!$C$40:$AH$40,0)), IFERROR(INDEX('Drop Point'!$B$13:$M$36,MATCH(H$97,'Drop Point'!$B$13:$B$37,0),MATCH($Q13,'Drop Point'!$B$41:$M$41,0)),
IFERROR(INDEX('Control - Grain dscf'!$C$11:$N$27,MATCH(H$97,'Control - Grain dscf'!$B$11:$B$27,0),MATCH($Q13,'Control - Grain dscf'!$C$32:$N$32,0)),
IFERROR(INDEX('Control - Alt'!$C$9:$O$27,MATCH(H$97,'Control - Alt'!$B$9:$B$27,0),MATCH($Q13,'Control - Alt'!$C$32:$O$32,0)),
IFERROR(INDEX(Stockpile!$C$10:$M$26,MATCH(H$97,Stockpile!$B$10:$B$26,0),MATCH($Q13,Stockpile!$C$30:$M$30,0)),
IFERROR(INDEX('Asphalt Silo &amp; Unloading'!$D$10:$M$44,MATCH(H$97,'Asphalt Silo &amp; Unloading'!$B$10:$B$44,0),MATCH($Q13,'Asphalt Silo &amp; Unloading'!$D$49:$M$49,0)),""))))))</f>
        <v/>
      </c>
      <c r="I13" s="590" t="str">
        <f>IFERROR(INDEX('Material Handling'!$C$10:$AH$33,MATCH(I$97,Material_Handling[Data],0),MATCH($Q13,'Material Handling'!$C$40:$AH$40,0)), IFERROR(INDEX('Drop Point'!$B$13:$M$36,MATCH(I$97,'Drop Point'!$B$13:$B$37,0),MATCH($Q13,'Drop Point'!$B$41:$M$41,0)),
IFERROR(INDEX('Control - Grain dscf'!$C$11:$N$27,MATCH(I$97,'Control - Grain dscf'!$B$11:$B$27,0),MATCH($Q13,'Control - Grain dscf'!$C$32:$N$32,0)),
IFERROR(INDEX('Control - Alt'!$C$9:$O$27,MATCH(I$97,'Control - Alt'!$B$9:$B$27,0),MATCH($Q13,'Control - Alt'!$C$32:$O$32,0)),
IFERROR(INDEX(Stockpile!$C$10:$M$26,MATCH(I$97,Stockpile!$B$10:$B$26,0),MATCH($Q13,Stockpile!$C$30:$M$30,0)),
IFERROR(INDEX('Asphalt Silo &amp; Unloading'!$D$10:$M$44,MATCH(I$97,'Asphalt Silo &amp; Unloading'!$B$10:$B$44,0),MATCH($Q13,'Asphalt Silo &amp; Unloading'!$D$49:$M$49,0)),""))))))</f>
        <v/>
      </c>
      <c r="J13" s="590" t="str">
        <f>IFERROR(INDEX('Material Handling'!$C$10:$AH$33,MATCH(J$97,Material_Handling[Data],0),MATCH($Q13,'Material Handling'!$C$40:$AH$40,0)), IFERROR(INDEX('Drop Point'!$B$13:$M$36,MATCH(J$97,'Drop Point'!$B$13:$B$37,0),MATCH($Q13,'Drop Point'!$B$41:$M$41,0)),
IFERROR(INDEX('Control - Grain dscf'!$C$11:$N$27,MATCH(J$97,'Control - Grain dscf'!$B$11:$B$27,0),MATCH($Q13,'Control - Grain dscf'!$C$32:$N$32,0)),
IFERROR(INDEX('Control - Alt'!$C$9:$O$27,MATCH(J$97,'Control - Alt'!$B$9:$B$27,0),MATCH($Q13,'Control - Alt'!$C$32:$O$32,0)),
IFERROR(INDEX(Stockpile!$C$10:$M$26,MATCH(J$97,Stockpile!$B$10:$B$26,0),MATCH($Q13,Stockpile!$C$30:$M$30,0)),
IFERROR(INDEX('Asphalt Silo &amp; Unloading'!$D$10:$M$44,MATCH(J$97,'Asphalt Silo &amp; Unloading'!$B$10:$B$44,0),MATCH($Q13,'Asphalt Silo &amp; Unloading'!$D$49:$M$49,0)),""))))))</f>
        <v/>
      </c>
      <c r="K13" s="590" t="str">
        <f>IFERROR(INDEX('Material Handling'!$C$10:$AH$33,MATCH(K$97,Material_Handling[Data],0),MATCH($Q13,'Material Handling'!$C$40:$AH$40,0)), IFERROR(INDEX('Drop Point'!$B$13:$M$36,MATCH(K$97,'Drop Point'!$B$13:$B$37,0),MATCH($Q13,'Drop Point'!$B$41:$M$41,0)),
IFERROR(INDEX('Control - Grain dscf'!$C$11:$N$27,MATCH(K$97,'Control - Grain dscf'!$B$11:$B$27,0),MATCH($Q13,'Control - Grain dscf'!$C$32:$N$32,0)),
IFERROR(INDEX('Control - Alt'!$C$9:$O$27,MATCH(K$97,'Control - Alt'!$B$9:$B$27,0),MATCH($Q13,'Control - Alt'!$C$32:$O$32,0)),
IFERROR(INDEX(Stockpile!$C$10:$M$26,MATCH(K$97,Stockpile!$B$10:$B$26,0),MATCH($Q13,Stockpile!$C$30:$M$30,0)),
IFERROR(INDEX('Asphalt Silo &amp; Unloading'!$D$10:$M$44,MATCH(K$97,'Asphalt Silo &amp; Unloading'!$B$10:$B$44,0),MATCH($Q13,'Asphalt Silo &amp; Unloading'!$D$49:$M$49,0)),""))))))</f>
        <v/>
      </c>
      <c r="L13" s="590" t="str">
        <f>IFERROR(INDEX('Material Handling'!$C$10:$AH$33,MATCH(L$97,Material_Handling[Data],0),MATCH($Q13,'Material Handling'!$C$40:$AH$40,0)), IFERROR(INDEX('Drop Point'!$B$13:$M$36,MATCH(L$97,'Drop Point'!$B$13:$B$37,0),MATCH($Q13,'Drop Point'!$B$41:$M$41,0)),
IFERROR(INDEX('Control - Grain dscf'!$C$11:$N$27,MATCH(L$97,'Control - Grain dscf'!$B$11:$B$27,0),MATCH($Q13,'Control - Grain dscf'!$C$32:$N$32,0)),
IFERROR(INDEX('Control - Alt'!$C$9:$O$27,MATCH(L$97,'Control - Alt'!$B$9:$B$27,0),MATCH($Q13,'Control - Alt'!$C$32:$O$32,0)),
IFERROR(INDEX(Stockpile!$C$10:$M$26,MATCH(L$97,Stockpile!$B$10:$B$26,0),MATCH($Q13,Stockpile!$C$30:$M$30,0)),
IFERROR(INDEX('Asphalt Silo &amp; Unloading'!$D$10:$M$44,MATCH(L$97,'Asphalt Silo &amp; Unloading'!$B$10:$B$44,0),MATCH($Q13,'Asphalt Silo &amp; Unloading'!$D$49:$M$49,0)),""))))))</f>
        <v/>
      </c>
      <c r="M13" s="590" t="str">
        <f>IFERROR(INDEX('Material Handling'!$C$10:$AH$33,MATCH(M$97,Material_Handling[Data],0),MATCH($Q13,'Material Handling'!$C$40:$AH$40,0)), IFERROR(INDEX('Drop Point'!$B$13:$M$36,MATCH(M$97,'Drop Point'!$B$13:$B$37,0),MATCH($Q13,'Drop Point'!$B$41:$M$41,0)),
IFERROR(INDEX('Control - Grain dscf'!$C$11:$N$27,MATCH(M$97,'Control - Grain dscf'!$B$11:$B$27,0),MATCH($Q13,'Control - Grain dscf'!$C$32:$N$32,0)),
IFERROR(INDEX('Control - Alt'!$C$9:$O$27,MATCH(M$97,'Control - Alt'!$B$9:$B$27,0),MATCH($Q13,'Control - Alt'!$C$32:$O$32,0)),
IFERROR(INDEX(Stockpile!$C$10:$M$26,MATCH(M$97,Stockpile!$B$10:$B$26,0),MATCH($Q13,Stockpile!$C$30:$M$30,0)),
IFERROR(INDEX('Asphalt Silo &amp; Unloading'!$D$10:$M$44,MATCH(M$97,'Asphalt Silo &amp; Unloading'!$B$10:$B$44,0),MATCH($Q13,'Asphalt Silo &amp; Unloading'!$D$49:$M$49,0)),""))))))</f>
        <v/>
      </c>
      <c r="N13" s="590" t="str">
        <f>IFERROR(INDEX('Material Handling'!$C$10:$AH$33,MATCH(N$97,Material_Handling[Data],0),MATCH($Q13,'Material Handling'!$C$40:$AH$40,0)), IFERROR(INDEX('Drop Point'!$B$13:$M$36,MATCH(N$97,'Drop Point'!$B$13:$B$37,0),MATCH($Q13,'Drop Point'!$B$41:$M$41,0)),
IFERROR(INDEX('Control - Grain dscf'!$C$11:$N$27,MATCH(N$97,'Control - Grain dscf'!$B$11:$B$27,0),MATCH($Q13,'Control - Grain dscf'!$C$32:$N$32,0)),
IFERROR(INDEX('Control - Alt'!$C$9:$O$27,MATCH(N$97,'Control - Alt'!$B$9:$B$27,0),MATCH($Q13,'Control - Alt'!$C$32:$O$32,0)),
IFERROR(INDEX(Stockpile!$C$10:$M$26,MATCH(N$97,Stockpile!$B$10:$B$26,0),MATCH($Q13,Stockpile!$C$30:$M$30,0)),
IFERROR(INDEX('Asphalt Silo &amp; Unloading'!$D$10:$M$44,MATCH(N$97,'Asphalt Silo &amp; Unloading'!$B$10:$B$44,0),MATCH($Q13,'Asphalt Silo &amp; Unloading'!$D$49:$M$49,0)),""))))))</f>
        <v/>
      </c>
      <c r="O13" s="591" t="str">
        <f>IFERROR(INDEX('Material Handling'!$C$10:$AH$33,MATCH(O$97,Material_Handling[Data],0),MATCH($Q13,'Material Handling'!$C$40:$AH$40,0)), IFERROR(INDEX('Drop Point'!$B$13:$M$36,MATCH(O$97,'Drop Point'!$B$13:$B$37,0),MATCH($Q13,'Drop Point'!$B$41:$M$41,0)),
IFERROR(INDEX('Control - Grain dscf'!$C$11:$N$27,MATCH(O$97,'Control - Grain dscf'!$B$11:$B$27,0),MATCH($Q13,'Control - Grain dscf'!$C$32:$N$32,0)),
IFERROR(INDEX('Control - Alt'!$C$9:$O$27,MATCH(O$97,'Control - Alt'!$B$9:$B$27,0),MATCH($Q13,'Control - Alt'!$C$32:$O$32,0)),
IFERROR(INDEX(Stockpile!$C$10:$M$26,MATCH(O$97,Stockpile!$B$10:$B$26,0),MATCH($Q13,Stockpile!$C$30:$M$30,0)),
IFERROR(INDEX('Asphalt Silo &amp; Unloading'!$D$10:$M$44,MATCH(O$97,'Asphalt Silo &amp; Unloading'!$B$10:$B$44,0),MATCH($Q13,'Asphalt Silo &amp; Unloading'!$D$49:$M$49,0)),""))))))</f>
        <v/>
      </c>
      <c r="Q13" s="131">
        <f t="shared" si="0"/>
        <v>5</v>
      </c>
    </row>
    <row r="14" spans="1:17" ht="20.100000000000001" customHeight="1">
      <c r="A14" s="293" t="str">
        <f>IFERROR(INDEX('Material Handling'!$C$10:$AH$33,MATCH(A$97,Material_Handling[Data],0),MATCH($Q14,'Material Handling'!$C$40:$AH$40,0)), IFERROR(INDEX('Drop Point'!$B$13:$M$36,MATCH(A$97,'Drop Point'!$B$13:$B$37,0),MATCH($Q14,'Drop Point'!$B$41:$M$41,0)),
IFERROR(INDEX('Control - Grain dscf'!$C$11:$N$27,MATCH(A$97,'Control - Grain dscf'!$B$11:$B$27,0),MATCH($Q14,'Control - Grain dscf'!$C$32:$N$32,0)),
IFERROR(INDEX('Control - Alt'!$C$9:$O$27,MATCH(A$97,'Control - Alt'!$B$9:$B$27,0),MATCH($Q14,'Control - Alt'!$C$32:$O$32,0)),
IFERROR(INDEX(Stockpile!$C$10:$M$26,MATCH(A$97,Stockpile!$B$10:$B$26,0),MATCH($Q14,Stockpile!$C$30:$M$30,0)),
IFERROR(INDEX('Asphalt Silo &amp; Unloading'!$D$10:$M$44,MATCH(A$97,'Asphalt Silo &amp; Unloading'!$B$10:$B$44,0),MATCH($Q14,'Asphalt Silo &amp; Unloading'!$D$49:$M$49,0)),""))))))</f>
        <v/>
      </c>
      <c r="B14" s="135" t="str">
        <f>IFERROR(INDEX('Material Handling'!$C$10:$AH$33,MATCH(B$97,Material_Handling[Data],0),MATCH($Q14,'Material Handling'!$C$40:$AH$40,0)), IFERROR(INDEX('Drop Point'!$B$13:$M$36,MATCH(B$97,'Drop Point'!$B$13:$B$37,0),MATCH($Q14,'Drop Point'!$B$41:$M$41,0)),
IFERROR(INDEX('Control - Grain dscf'!$C$11:$N$27,MATCH(B$97,'Control - Grain dscf'!$B$11:$B$27,0),MATCH($Q14,'Control - Grain dscf'!$C$32:$N$32,0)),
IFERROR(INDEX('Control - Alt'!$C$9:$O$27,MATCH(B$97,'Control - Alt'!$B$9:$B$27,0),MATCH($Q14,'Control - Alt'!$C$32:$O$32,0)),
IFERROR(INDEX(Stockpile!$C$10:$M$26,MATCH(B$97,Stockpile!$B$10:$B$26,0),MATCH($Q14,Stockpile!$C$30:$M$30,0)),
IFERROR(INDEX('Asphalt Silo &amp; Unloading'!$D$10:$M$44,MATCH(B$97,'Asphalt Silo &amp; Unloading'!$B$10:$B$44,0),MATCH($Q14,'Asphalt Silo &amp; Unloading'!$D$49:$M$49,0)),""))))))</f>
        <v/>
      </c>
      <c r="C14" s="135" t="str">
        <f>IFERROR(INDEX('Material Handling'!$C$10:$AH$33,MATCH(C$97,Material_Handling[Data],0),MATCH($Q14,'Material Handling'!$C$40:$AH$40,0)), IFERROR(INDEX('Drop Point'!$B$13:$M$36,MATCH(C$97,'Drop Point'!$B$13:$B$37,0),MATCH($Q14,'Drop Point'!$B$41:$M$41,0)),
IFERROR(INDEX('Control - Grain dscf'!$C$11:$N$27,MATCH(C$97,'Control - Grain dscf'!$B$11:$B$27,0),MATCH($Q14,'Control - Grain dscf'!$C$32:$N$32,0)),
IFERROR(INDEX('Control - Alt'!$C$9:$O$27,MATCH(C$97,'Control - Alt'!$B$9:$B$27,0),MATCH($Q14,'Control - Alt'!$C$32:$O$32,0)),
IFERROR(INDEX(Stockpile!$C$10:$M$26,MATCH(C$97,Stockpile!$B$10:$B$26,0),MATCH($Q14,Stockpile!$C$30:$M$30,0)),
IFERROR(INDEX('Asphalt Silo &amp; Unloading'!$D$10:$M$44,MATCH(C$97,'Asphalt Silo &amp; Unloading'!$B$10:$B$44,0),MATCH($Q14,'Asphalt Silo &amp; Unloading'!$D$49:$M$49,0)),""))))))</f>
        <v/>
      </c>
      <c r="D14" s="135" t="str">
        <f>IFERROR(INDEX('Material Handling'!$C$10:$AH$33,MATCH(D$97,Material_Handling[Data],0),MATCH($Q14,'Material Handling'!$C$40:$AH$40,0)), IFERROR(INDEX('Drop Point'!$B$13:$M$36,MATCH(D$97,'Drop Point'!$B$13:$B$37,0),MATCH($Q14,'Drop Point'!$B$41:$M$41,0)),
IFERROR(INDEX('Control - Grain dscf'!$C$11:$N$27,MATCH(D$97,'Control - Grain dscf'!$B$11:$B$27,0),MATCH($Q14,'Control - Grain dscf'!$C$32:$N$32,0)),
IFERROR(INDEX('Control - Alt'!$C$9:$O$27,MATCH(D$97,'Control - Alt'!$B$9:$B$27,0),MATCH($Q14,'Control - Alt'!$C$32:$O$32,0)),
IFERROR(INDEX(Stockpile!$C$10:$M$26,MATCH(D$97,Stockpile!$B$10:$B$26,0),MATCH($Q14,Stockpile!$C$30:$M$30,0)),
IFERROR(INDEX('Asphalt Silo &amp; Unloading'!$D$10:$M$44,MATCH(D$97,'Asphalt Silo &amp; Unloading'!$B$10:$B$44,0),MATCH($Q14,'Asphalt Silo &amp; Unloading'!$D$49:$M$49,0)),""))))))</f>
        <v/>
      </c>
      <c r="E14" s="620" t="str">
        <f>IFERROR(INDEX('Material Handling'!$C$10:$AH$33,MATCH(E$97,Material_Handling[Data],0),MATCH($Q14,'Material Handling'!$C$40:$AH$40,0)), IFERROR(INDEX('Drop Point'!$B$13:$M$36,MATCH(E$97,'Drop Point'!$B$13:$B$37,0),MATCH($Q14,'Drop Point'!$B$41:$M$41,0)),
IFERROR(INDEX('Control - Grain dscf'!$C$11:$N$27,MATCH(E$97,'Control - Grain dscf'!$B$11:$B$27,0),MATCH($Q14,'Control - Grain dscf'!$C$32:$N$32,0)),
IFERROR(INDEX('Control - Alt'!$C$9:$O$27,MATCH(E$97,'Control - Alt'!$B$9:$B$27,0),MATCH($Q14,'Control - Alt'!$C$32:$O$32,0)),
IFERROR(INDEX(Stockpile!$C$10:$M$26,MATCH(E$97,Stockpile!$B$10:$B$26,0),MATCH($Q14,Stockpile!$C$30:$M$30,0)),
IFERROR(INDEX('Asphalt Silo &amp; Unloading'!$D$10:$M$44,MATCH(E$97,'Asphalt Silo &amp; Unloading'!$B$10:$B$44,0),MATCH($Q14,'Asphalt Silo &amp; Unloading'!$D$49:$M$49,0)),""))))))</f>
        <v/>
      </c>
      <c r="F14" s="590" t="str">
        <f>IFERROR(INDEX('Material Handling'!$C$10:$AH$33,MATCH(F$97,Material_Handling[Data],0),MATCH($Q14,'Material Handling'!$C$40:$AH$40,0)), IFERROR(INDEX('Drop Point'!$B$13:$M$36,MATCH(F$97,'Drop Point'!$B$13:$B$37,0),MATCH($Q14,'Drop Point'!$B$41:$M$41,0)),
IFERROR(INDEX('Control - Grain dscf'!$C$11:$N$27,MATCH(F$97,'Control - Grain dscf'!$B$11:$B$27,0),MATCH($Q14,'Control - Grain dscf'!$C$32:$N$32,0)),
IFERROR(INDEX('Control - Alt'!$C$9:$O$27,MATCH(F$97,'Control - Alt'!$B$9:$B$27,0),MATCH($Q14,'Control - Alt'!$C$32:$O$32,0)),
IFERROR(INDEX(Stockpile!$C$10:$M$26,MATCH(F$97,Stockpile!$B$10:$B$26,0),MATCH($Q14,Stockpile!$C$30:$M$30,0)),
IFERROR(INDEX('Asphalt Silo &amp; Unloading'!$D$10:$M$44,MATCH(F$97,'Asphalt Silo &amp; Unloading'!$B$10:$B$44,0),MATCH($Q14,'Asphalt Silo &amp; Unloading'!$D$49:$M$49,0)),""))))))</f>
        <v/>
      </c>
      <c r="G14" s="590" t="str">
        <f>IFERROR(INDEX('Material Handling'!$C$10:$AH$33,MATCH(G$97,Material_Handling[Data],0),MATCH($Q14,'Material Handling'!$C$40:$AH$40,0)), IFERROR(INDEX('Drop Point'!$B$13:$M$36,MATCH(G$97,'Drop Point'!$B$13:$B$37,0),MATCH($Q14,'Drop Point'!$B$41:$M$41,0)),
IFERROR(INDEX('Control - Grain dscf'!$C$11:$N$27,MATCH(G$97,'Control - Grain dscf'!$B$11:$B$27,0),MATCH($Q14,'Control - Grain dscf'!$C$32:$N$32,0)),
IFERROR(INDEX('Control - Alt'!$C$9:$O$27,MATCH(G$97,'Control - Alt'!$B$9:$B$27,0),MATCH($Q14,'Control - Alt'!$C$32:$O$32,0)),
IFERROR(INDEX(Stockpile!$C$10:$M$26,MATCH(G$97,Stockpile!$B$10:$B$26,0),MATCH($Q14,Stockpile!$C$30:$M$30,0)),
IFERROR(INDEX('Asphalt Silo &amp; Unloading'!$D$10:$M$44,MATCH(G$97,'Asphalt Silo &amp; Unloading'!$B$10:$B$44,0),MATCH($Q14,'Asphalt Silo &amp; Unloading'!$D$49:$M$49,0)),""))))))</f>
        <v/>
      </c>
      <c r="H14" s="590" t="str">
        <f>IFERROR(INDEX('Material Handling'!$C$10:$AH$33,MATCH(H$97,Material_Handling[Data],0),MATCH($Q14,'Material Handling'!$C$40:$AH$40,0)), IFERROR(INDEX('Drop Point'!$B$13:$M$36,MATCH(H$97,'Drop Point'!$B$13:$B$37,0),MATCH($Q14,'Drop Point'!$B$41:$M$41,0)),
IFERROR(INDEX('Control - Grain dscf'!$C$11:$N$27,MATCH(H$97,'Control - Grain dscf'!$B$11:$B$27,0),MATCH($Q14,'Control - Grain dscf'!$C$32:$N$32,0)),
IFERROR(INDEX('Control - Alt'!$C$9:$O$27,MATCH(H$97,'Control - Alt'!$B$9:$B$27,0),MATCH($Q14,'Control - Alt'!$C$32:$O$32,0)),
IFERROR(INDEX(Stockpile!$C$10:$M$26,MATCH(H$97,Stockpile!$B$10:$B$26,0),MATCH($Q14,Stockpile!$C$30:$M$30,0)),
IFERROR(INDEX('Asphalt Silo &amp; Unloading'!$D$10:$M$44,MATCH(H$97,'Asphalt Silo &amp; Unloading'!$B$10:$B$44,0),MATCH($Q14,'Asphalt Silo &amp; Unloading'!$D$49:$M$49,0)),""))))))</f>
        <v/>
      </c>
      <c r="I14" s="590" t="str">
        <f>IFERROR(INDEX('Material Handling'!$C$10:$AH$33,MATCH(I$97,Material_Handling[Data],0),MATCH($Q14,'Material Handling'!$C$40:$AH$40,0)), IFERROR(INDEX('Drop Point'!$B$13:$M$36,MATCH(I$97,'Drop Point'!$B$13:$B$37,0),MATCH($Q14,'Drop Point'!$B$41:$M$41,0)),
IFERROR(INDEX('Control - Grain dscf'!$C$11:$N$27,MATCH(I$97,'Control - Grain dscf'!$B$11:$B$27,0),MATCH($Q14,'Control - Grain dscf'!$C$32:$N$32,0)),
IFERROR(INDEX('Control - Alt'!$C$9:$O$27,MATCH(I$97,'Control - Alt'!$B$9:$B$27,0),MATCH($Q14,'Control - Alt'!$C$32:$O$32,0)),
IFERROR(INDEX(Stockpile!$C$10:$M$26,MATCH(I$97,Stockpile!$B$10:$B$26,0),MATCH($Q14,Stockpile!$C$30:$M$30,0)),
IFERROR(INDEX('Asphalt Silo &amp; Unloading'!$D$10:$M$44,MATCH(I$97,'Asphalt Silo &amp; Unloading'!$B$10:$B$44,0),MATCH($Q14,'Asphalt Silo &amp; Unloading'!$D$49:$M$49,0)),""))))))</f>
        <v/>
      </c>
      <c r="J14" s="590" t="str">
        <f>IFERROR(INDEX('Material Handling'!$C$10:$AH$33,MATCH(J$97,Material_Handling[Data],0),MATCH($Q14,'Material Handling'!$C$40:$AH$40,0)), IFERROR(INDEX('Drop Point'!$B$13:$M$36,MATCH(J$97,'Drop Point'!$B$13:$B$37,0),MATCH($Q14,'Drop Point'!$B$41:$M$41,0)),
IFERROR(INDEX('Control - Grain dscf'!$C$11:$N$27,MATCH(J$97,'Control - Grain dscf'!$B$11:$B$27,0),MATCH($Q14,'Control - Grain dscf'!$C$32:$N$32,0)),
IFERROR(INDEX('Control - Alt'!$C$9:$O$27,MATCH(J$97,'Control - Alt'!$B$9:$B$27,0),MATCH($Q14,'Control - Alt'!$C$32:$O$32,0)),
IFERROR(INDEX(Stockpile!$C$10:$M$26,MATCH(J$97,Stockpile!$B$10:$B$26,0),MATCH($Q14,Stockpile!$C$30:$M$30,0)),
IFERROR(INDEX('Asphalt Silo &amp; Unloading'!$D$10:$M$44,MATCH(J$97,'Asphalt Silo &amp; Unloading'!$B$10:$B$44,0),MATCH($Q14,'Asphalt Silo &amp; Unloading'!$D$49:$M$49,0)),""))))))</f>
        <v/>
      </c>
      <c r="K14" s="590" t="str">
        <f>IFERROR(INDEX('Material Handling'!$C$10:$AH$33,MATCH(K$97,Material_Handling[Data],0),MATCH($Q14,'Material Handling'!$C$40:$AH$40,0)), IFERROR(INDEX('Drop Point'!$B$13:$M$36,MATCH(K$97,'Drop Point'!$B$13:$B$37,0),MATCH($Q14,'Drop Point'!$B$41:$M$41,0)),
IFERROR(INDEX('Control - Grain dscf'!$C$11:$N$27,MATCH(K$97,'Control - Grain dscf'!$B$11:$B$27,0),MATCH($Q14,'Control - Grain dscf'!$C$32:$N$32,0)),
IFERROR(INDEX('Control - Alt'!$C$9:$O$27,MATCH(K$97,'Control - Alt'!$B$9:$B$27,0),MATCH($Q14,'Control - Alt'!$C$32:$O$32,0)),
IFERROR(INDEX(Stockpile!$C$10:$M$26,MATCH(K$97,Stockpile!$B$10:$B$26,0),MATCH($Q14,Stockpile!$C$30:$M$30,0)),
IFERROR(INDEX('Asphalt Silo &amp; Unloading'!$D$10:$M$44,MATCH(K$97,'Asphalt Silo &amp; Unloading'!$B$10:$B$44,0),MATCH($Q14,'Asphalt Silo &amp; Unloading'!$D$49:$M$49,0)),""))))))</f>
        <v/>
      </c>
      <c r="L14" s="590" t="str">
        <f>IFERROR(INDEX('Material Handling'!$C$10:$AH$33,MATCH(L$97,Material_Handling[Data],0),MATCH($Q14,'Material Handling'!$C$40:$AH$40,0)), IFERROR(INDEX('Drop Point'!$B$13:$M$36,MATCH(L$97,'Drop Point'!$B$13:$B$37,0),MATCH($Q14,'Drop Point'!$B$41:$M$41,0)),
IFERROR(INDEX('Control - Grain dscf'!$C$11:$N$27,MATCH(L$97,'Control - Grain dscf'!$B$11:$B$27,0),MATCH($Q14,'Control - Grain dscf'!$C$32:$N$32,0)),
IFERROR(INDEX('Control - Alt'!$C$9:$O$27,MATCH(L$97,'Control - Alt'!$B$9:$B$27,0),MATCH($Q14,'Control - Alt'!$C$32:$O$32,0)),
IFERROR(INDEX(Stockpile!$C$10:$M$26,MATCH(L$97,Stockpile!$B$10:$B$26,0),MATCH($Q14,Stockpile!$C$30:$M$30,0)),
IFERROR(INDEX('Asphalt Silo &amp; Unloading'!$D$10:$M$44,MATCH(L$97,'Asphalt Silo &amp; Unloading'!$B$10:$B$44,0),MATCH($Q14,'Asphalt Silo &amp; Unloading'!$D$49:$M$49,0)),""))))))</f>
        <v/>
      </c>
      <c r="M14" s="590" t="str">
        <f>IFERROR(INDEX('Material Handling'!$C$10:$AH$33,MATCH(M$97,Material_Handling[Data],0),MATCH($Q14,'Material Handling'!$C$40:$AH$40,0)), IFERROR(INDEX('Drop Point'!$B$13:$M$36,MATCH(M$97,'Drop Point'!$B$13:$B$37,0),MATCH($Q14,'Drop Point'!$B$41:$M$41,0)),
IFERROR(INDEX('Control - Grain dscf'!$C$11:$N$27,MATCH(M$97,'Control - Grain dscf'!$B$11:$B$27,0),MATCH($Q14,'Control - Grain dscf'!$C$32:$N$32,0)),
IFERROR(INDEX('Control - Alt'!$C$9:$O$27,MATCH(M$97,'Control - Alt'!$B$9:$B$27,0),MATCH($Q14,'Control - Alt'!$C$32:$O$32,0)),
IFERROR(INDEX(Stockpile!$C$10:$M$26,MATCH(M$97,Stockpile!$B$10:$B$26,0),MATCH($Q14,Stockpile!$C$30:$M$30,0)),
IFERROR(INDEX('Asphalt Silo &amp; Unloading'!$D$10:$M$44,MATCH(M$97,'Asphalt Silo &amp; Unloading'!$B$10:$B$44,0),MATCH($Q14,'Asphalt Silo &amp; Unloading'!$D$49:$M$49,0)),""))))))</f>
        <v/>
      </c>
      <c r="N14" s="590" t="str">
        <f>IFERROR(INDEX('Material Handling'!$C$10:$AH$33,MATCH(N$97,Material_Handling[Data],0),MATCH($Q14,'Material Handling'!$C$40:$AH$40,0)), IFERROR(INDEX('Drop Point'!$B$13:$M$36,MATCH(N$97,'Drop Point'!$B$13:$B$37,0),MATCH($Q14,'Drop Point'!$B$41:$M$41,0)),
IFERROR(INDEX('Control - Grain dscf'!$C$11:$N$27,MATCH(N$97,'Control - Grain dscf'!$B$11:$B$27,0),MATCH($Q14,'Control - Grain dscf'!$C$32:$N$32,0)),
IFERROR(INDEX('Control - Alt'!$C$9:$O$27,MATCH(N$97,'Control - Alt'!$B$9:$B$27,0),MATCH($Q14,'Control - Alt'!$C$32:$O$32,0)),
IFERROR(INDEX(Stockpile!$C$10:$M$26,MATCH(N$97,Stockpile!$B$10:$B$26,0),MATCH($Q14,Stockpile!$C$30:$M$30,0)),
IFERROR(INDEX('Asphalt Silo &amp; Unloading'!$D$10:$M$44,MATCH(N$97,'Asphalt Silo &amp; Unloading'!$B$10:$B$44,0),MATCH($Q14,'Asphalt Silo &amp; Unloading'!$D$49:$M$49,0)),""))))))</f>
        <v/>
      </c>
      <c r="O14" s="591" t="str">
        <f>IFERROR(INDEX('Material Handling'!$C$10:$AH$33,MATCH(O$97,Material_Handling[Data],0),MATCH($Q14,'Material Handling'!$C$40:$AH$40,0)), IFERROR(INDEX('Drop Point'!$B$13:$M$36,MATCH(O$97,'Drop Point'!$B$13:$B$37,0),MATCH($Q14,'Drop Point'!$B$41:$M$41,0)),
IFERROR(INDEX('Control - Grain dscf'!$C$11:$N$27,MATCH(O$97,'Control - Grain dscf'!$B$11:$B$27,0),MATCH($Q14,'Control - Grain dscf'!$C$32:$N$32,0)),
IFERROR(INDEX('Control - Alt'!$C$9:$O$27,MATCH(O$97,'Control - Alt'!$B$9:$B$27,0),MATCH($Q14,'Control - Alt'!$C$32:$O$32,0)),
IFERROR(INDEX(Stockpile!$C$10:$M$26,MATCH(O$97,Stockpile!$B$10:$B$26,0),MATCH($Q14,Stockpile!$C$30:$M$30,0)),
IFERROR(INDEX('Asphalt Silo &amp; Unloading'!$D$10:$M$44,MATCH(O$97,'Asphalt Silo &amp; Unloading'!$B$10:$B$44,0),MATCH($Q14,'Asphalt Silo &amp; Unloading'!$D$49:$M$49,0)),""))))))</f>
        <v/>
      </c>
      <c r="Q14" s="131">
        <f t="shared" si="0"/>
        <v>6</v>
      </c>
    </row>
    <row r="15" spans="1:17" ht="20.100000000000001" customHeight="1">
      <c r="A15" s="293" t="str">
        <f>IFERROR(INDEX('Material Handling'!$C$10:$AH$33,MATCH(A$97,Material_Handling[Data],0),MATCH($Q15,'Material Handling'!$C$40:$AH$40,0)), IFERROR(INDEX('Drop Point'!$B$13:$M$36,MATCH(A$97,'Drop Point'!$B$13:$B$37,0),MATCH($Q15,'Drop Point'!$B$41:$M$41,0)),
IFERROR(INDEX('Control - Grain dscf'!$C$11:$N$27,MATCH(A$97,'Control - Grain dscf'!$B$11:$B$27,0),MATCH($Q15,'Control - Grain dscf'!$C$32:$N$32,0)),
IFERROR(INDEX('Control - Alt'!$C$9:$O$27,MATCH(A$97,'Control - Alt'!$B$9:$B$27,0),MATCH($Q15,'Control - Alt'!$C$32:$O$32,0)),
IFERROR(INDEX(Stockpile!$C$10:$M$26,MATCH(A$97,Stockpile!$B$10:$B$26,0),MATCH($Q15,Stockpile!$C$30:$M$30,0)),
IFERROR(INDEX('Asphalt Silo &amp; Unloading'!$D$10:$M$44,MATCH(A$97,'Asphalt Silo &amp; Unloading'!$B$10:$B$44,0),MATCH($Q15,'Asphalt Silo &amp; Unloading'!$D$49:$M$49,0)),""))))))</f>
        <v/>
      </c>
      <c r="B15" s="135" t="str">
        <f>IFERROR(INDEX('Material Handling'!$C$10:$AH$33,MATCH(B$97,Material_Handling[Data],0),MATCH($Q15,'Material Handling'!$C$40:$AH$40,0)), IFERROR(INDEX('Drop Point'!$B$13:$M$36,MATCH(B$97,'Drop Point'!$B$13:$B$37,0),MATCH($Q15,'Drop Point'!$B$41:$M$41,0)),
IFERROR(INDEX('Control - Grain dscf'!$C$11:$N$27,MATCH(B$97,'Control - Grain dscf'!$B$11:$B$27,0),MATCH($Q15,'Control - Grain dscf'!$C$32:$N$32,0)),
IFERROR(INDEX('Control - Alt'!$C$9:$O$27,MATCH(B$97,'Control - Alt'!$B$9:$B$27,0),MATCH($Q15,'Control - Alt'!$C$32:$O$32,0)),
IFERROR(INDEX(Stockpile!$C$10:$M$26,MATCH(B$97,Stockpile!$B$10:$B$26,0),MATCH($Q15,Stockpile!$C$30:$M$30,0)),
IFERROR(INDEX('Asphalt Silo &amp; Unloading'!$D$10:$M$44,MATCH(B$97,'Asphalt Silo &amp; Unloading'!$B$10:$B$44,0),MATCH($Q15,'Asphalt Silo &amp; Unloading'!$D$49:$M$49,0)),""))))))</f>
        <v/>
      </c>
      <c r="C15" s="135" t="str">
        <f>IFERROR(INDEX('Material Handling'!$C$10:$AH$33,MATCH(C$97,Material_Handling[Data],0),MATCH($Q15,'Material Handling'!$C$40:$AH$40,0)), IFERROR(INDEX('Drop Point'!$B$13:$M$36,MATCH(C$97,'Drop Point'!$B$13:$B$37,0),MATCH($Q15,'Drop Point'!$B$41:$M$41,0)),
IFERROR(INDEX('Control - Grain dscf'!$C$11:$N$27,MATCH(C$97,'Control - Grain dscf'!$B$11:$B$27,0),MATCH($Q15,'Control - Grain dscf'!$C$32:$N$32,0)),
IFERROR(INDEX('Control - Alt'!$C$9:$O$27,MATCH(C$97,'Control - Alt'!$B$9:$B$27,0),MATCH($Q15,'Control - Alt'!$C$32:$O$32,0)),
IFERROR(INDEX(Stockpile!$C$10:$M$26,MATCH(C$97,Stockpile!$B$10:$B$26,0),MATCH($Q15,Stockpile!$C$30:$M$30,0)),
IFERROR(INDEX('Asphalt Silo &amp; Unloading'!$D$10:$M$44,MATCH(C$97,'Asphalt Silo &amp; Unloading'!$B$10:$B$44,0),MATCH($Q15,'Asphalt Silo &amp; Unloading'!$D$49:$M$49,0)),""))))))</f>
        <v/>
      </c>
      <c r="D15" s="135" t="str">
        <f>IFERROR(INDEX('Material Handling'!$C$10:$AH$33,MATCH(D$97,Material_Handling[Data],0),MATCH($Q15,'Material Handling'!$C$40:$AH$40,0)), IFERROR(INDEX('Drop Point'!$B$13:$M$36,MATCH(D$97,'Drop Point'!$B$13:$B$37,0),MATCH($Q15,'Drop Point'!$B$41:$M$41,0)),
IFERROR(INDEX('Control - Grain dscf'!$C$11:$N$27,MATCH(D$97,'Control - Grain dscf'!$B$11:$B$27,0),MATCH($Q15,'Control - Grain dscf'!$C$32:$N$32,0)),
IFERROR(INDEX('Control - Alt'!$C$9:$O$27,MATCH(D$97,'Control - Alt'!$B$9:$B$27,0),MATCH($Q15,'Control - Alt'!$C$32:$O$32,0)),
IFERROR(INDEX(Stockpile!$C$10:$M$26,MATCH(D$97,Stockpile!$B$10:$B$26,0),MATCH($Q15,Stockpile!$C$30:$M$30,0)),
IFERROR(INDEX('Asphalt Silo &amp; Unloading'!$D$10:$M$44,MATCH(D$97,'Asphalt Silo &amp; Unloading'!$B$10:$B$44,0),MATCH($Q15,'Asphalt Silo &amp; Unloading'!$D$49:$M$49,0)),""))))))</f>
        <v/>
      </c>
      <c r="E15" s="620" t="str">
        <f>IFERROR(INDEX('Material Handling'!$C$10:$AH$33,MATCH(E$97,Material_Handling[Data],0),MATCH($Q15,'Material Handling'!$C$40:$AH$40,0)), IFERROR(INDEX('Drop Point'!$B$13:$M$36,MATCH(E$97,'Drop Point'!$B$13:$B$37,0),MATCH($Q15,'Drop Point'!$B$41:$M$41,0)),
IFERROR(INDEX('Control - Grain dscf'!$C$11:$N$27,MATCH(E$97,'Control - Grain dscf'!$B$11:$B$27,0),MATCH($Q15,'Control - Grain dscf'!$C$32:$N$32,0)),
IFERROR(INDEX('Control - Alt'!$C$9:$O$27,MATCH(E$97,'Control - Alt'!$B$9:$B$27,0),MATCH($Q15,'Control - Alt'!$C$32:$O$32,0)),
IFERROR(INDEX(Stockpile!$C$10:$M$26,MATCH(E$97,Stockpile!$B$10:$B$26,0),MATCH($Q15,Stockpile!$C$30:$M$30,0)),
IFERROR(INDEX('Asphalt Silo &amp; Unloading'!$D$10:$M$44,MATCH(E$97,'Asphalt Silo &amp; Unloading'!$B$10:$B$44,0),MATCH($Q15,'Asphalt Silo &amp; Unloading'!$D$49:$M$49,0)),""))))))</f>
        <v/>
      </c>
      <c r="F15" s="590" t="str">
        <f>IFERROR(INDEX('Material Handling'!$C$10:$AH$33,MATCH(F$97,Material_Handling[Data],0),MATCH($Q15,'Material Handling'!$C$40:$AH$40,0)), IFERROR(INDEX('Drop Point'!$B$13:$M$36,MATCH(F$97,'Drop Point'!$B$13:$B$37,0),MATCH($Q15,'Drop Point'!$B$41:$M$41,0)),
IFERROR(INDEX('Control - Grain dscf'!$C$11:$N$27,MATCH(F$97,'Control - Grain dscf'!$B$11:$B$27,0),MATCH($Q15,'Control - Grain dscf'!$C$32:$N$32,0)),
IFERROR(INDEX('Control - Alt'!$C$9:$O$27,MATCH(F$97,'Control - Alt'!$B$9:$B$27,0),MATCH($Q15,'Control - Alt'!$C$32:$O$32,0)),
IFERROR(INDEX(Stockpile!$C$10:$M$26,MATCH(F$97,Stockpile!$B$10:$B$26,0),MATCH($Q15,Stockpile!$C$30:$M$30,0)),
IFERROR(INDEX('Asphalt Silo &amp; Unloading'!$D$10:$M$44,MATCH(F$97,'Asphalt Silo &amp; Unloading'!$B$10:$B$44,0),MATCH($Q15,'Asphalt Silo &amp; Unloading'!$D$49:$M$49,0)),""))))))</f>
        <v/>
      </c>
      <c r="G15" s="590" t="str">
        <f>IFERROR(INDEX('Material Handling'!$C$10:$AH$33,MATCH(G$97,Material_Handling[Data],0),MATCH($Q15,'Material Handling'!$C$40:$AH$40,0)), IFERROR(INDEX('Drop Point'!$B$13:$M$36,MATCH(G$97,'Drop Point'!$B$13:$B$37,0),MATCH($Q15,'Drop Point'!$B$41:$M$41,0)),
IFERROR(INDEX('Control - Grain dscf'!$C$11:$N$27,MATCH(G$97,'Control - Grain dscf'!$B$11:$B$27,0),MATCH($Q15,'Control - Grain dscf'!$C$32:$N$32,0)),
IFERROR(INDEX('Control - Alt'!$C$9:$O$27,MATCH(G$97,'Control - Alt'!$B$9:$B$27,0),MATCH($Q15,'Control - Alt'!$C$32:$O$32,0)),
IFERROR(INDEX(Stockpile!$C$10:$M$26,MATCH(G$97,Stockpile!$B$10:$B$26,0),MATCH($Q15,Stockpile!$C$30:$M$30,0)),
IFERROR(INDEX('Asphalt Silo &amp; Unloading'!$D$10:$M$44,MATCH(G$97,'Asphalt Silo &amp; Unloading'!$B$10:$B$44,0),MATCH($Q15,'Asphalt Silo &amp; Unloading'!$D$49:$M$49,0)),""))))))</f>
        <v/>
      </c>
      <c r="H15" s="590" t="str">
        <f>IFERROR(INDEX('Material Handling'!$C$10:$AH$33,MATCH(H$97,Material_Handling[Data],0),MATCH($Q15,'Material Handling'!$C$40:$AH$40,0)), IFERROR(INDEX('Drop Point'!$B$13:$M$36,MATCH(H$97,'Drop Point'!$B$13:$B$37,0),MATCH($Q15,'Drop Point'!$B$41:$M$41,0)),
IFERROR(INDEX('Control - Grain dscf'!$C$11:$N$27,MATCH(H$97,'Control - Grain dscf'!$B$11:$B$27,0),MATCH($Q15,'Control - Grain dscf'!$C$32:$N$32,0)),
IFERROR(INDEX('Control - Alt'!$C$9:$O$27,MATCH(H$97,'Control - Alt'!$B$9:$B$27,0),MATCH($Q15,'Control - Alt'!$C$32:$O$32,0)),
IFERROR(INDEX(Stockpile!$C$10:$M$26,MATCH(H$97,Stockpile!$B$10:$B$26,0),MATCH($Q15,Stockpile!$C$30:$M$30,0)),
IFERROR(INDEX('Asphalt Silo &amp; Unloading'!$D$10:$M$44,MATCH(H$97,'Asphalt Silo &amp; Unloading'!$B$10:$B$44,0),MATCH($Q15,'Asphalt Silo &amp; Unloading'!$D$49:$M$49,0)),""))))))</f>
        <v/>
      </c>
      <c r="I15" s="590" t="str">
        <f>IFERROR(INDEX('Material Handling'!$C$10:$AH$33,MATCH(I$97,Material_Handling[Data],0),MATCH($Q15,'Material Handling'!$C$40:$AH$40,0)), IFERROR(INDEX('Drop Point'!$B$13:$M$36,MATCH(I$97,'Drop Point'!$B$13:$B$37,0),MATCH($Q15,'Drop Point'!$B$41:$M$41,0)),
IFERROR(INDEX('Control - Grain dscf'!$C$11:$N$27,MATCH(I$97,'Control - Grain dscf'!$B$11:$B$27,0),MATCH($Q15,'Control - Grain dscf'!$C$32:$N$32,0)),
IFERROR(INDEX('Control - Alt'!$C$9:$O$27,MATCH(I$97,'Control - Alt'!$B$9:$B$27,0),MATCH($Q15,'Control - Alt'!$C$32:$O$32,0)),
IFERROR(INDEX(Stockpile!$C$10:$M$26,MATCH(I$97,Stockpile!$B$10:$B$26,0),MATCH($Q15,Stockpile!$C$30:$M$30,0)),
IFERROR(INDEX('Asphalt Silo &amp; Unloading'!$D$10:$M$44,MATCH(I$97,'Asphalt Silo &amp; Unloading'!$B$10:$B$44,0),MATCH($Q15,'Asphalt Silo &amp; Unloading'!$D$49:$M$49,0)),""))))))</f>
        <v/>
      </c>
      <c r="J15" s="590" t="str">
        <f>IFERROR(INDEX('Material Handling'!$C$10:$AH$33,MATCH(J$97,Material_Handling[Data],0),MATCH($Q15,'Material Handling'!$C$40:$AH$40,0)), IFERROR(INDEX('Drop Point'!$B$13:$M$36,MATCH(J$97,'Drop Point'!$B$13:$B$37,0),MATCH($Q15,'Drop Point'!$B$41:$M$41,0)),
IFERROR(INDEX('Control - Grain dscf'!$C$11:$N$27,MATCH(J$97,'Control - Grain dscf'!$B$11:$B$27,0),MATCH($Q15,'Control - Grain dscf'!$C$32:$N$32,0)),
IFERROR(INDEX('Control - Alt'!$C$9:$O$27,MATCH(J$97,'Control - Alt'!$B$9:$B$27,0),MATCH($Q15,'Control - Alt'!$C$32:$O$32,0)),
IFERROR(INDEX(Stockpile!$C$10:$M$26,MATCH(J$97,Stockpile!$B$10:$B$26,0),MATCH($Q15,Stockpile!$C$30:$M$30,0)),
IFERROR(INDEX('Asphalt Silo &amp; Unloading'!$D$10:$M$44,MATCH(J$97,'Asphalt Silo &amp; Unloading'!$B$10:$B$44,0),MATCH($Q15,'Asphalt Silo &amp; Unloading'!$D$49:$M$49,0)),""))))))</f>
        <v/>
      </c>
      <c r="K15" s="590" t="str">
        <f>IFERROR(INDEX('Material Handling'!$C$10:$AH$33,MATCH(K$97,Material_Handling[Data],0),MATCH($Q15,'Material Handling'!$C$40:$AH$40,0)), IFERROR(INDEX('Drop Point'!$B$13:$M$36,MATCH(K$97,'Drop Point'!$B$13:$B$37,0),MATCH($Q15,'Drop Point'!$B$41:$M$41,0)),
IFERROR(INDEX('Control - Grain dscf'!$C$11:$N$27,MATCH(K$97,'Control - Grain dscf'!$B$11:$B$27,0),MATCH($Q15,'Control - Grain dscf'!$C$32:$N$32,0)),
IFERROR(INDEX('Control - Alt'!$C$9:$O$27,MATCH(K$97,'Control - Alt'!$B$9:$B$27,0),MATCH($Q15,'Control - Alt'!$C$32:$O$32,0)),
IFERROR(INDEX(Stockpile!$C$10:$M$26,MATCH(K$97,Stockpile!$B$10:$B$26,0),MATCH($Q15,Stockpile!$C$30:$M$30,0)),
IFERROR(INDEX('Asphalt Silo &amp; Unloading'!$D$10:$M$44,MATCH(K$97,'Asphalt Silo &amp; Unloading'!$B$10:$B$44,0),MATCH($Q15,'Asphalt Silo &amp; Unloading'!$D$49:$M$49,0)),""))))))</f>
        <v/>
      </c>
      <c r="L15" s="590" t="str">
        <f>IFERROR(INDEX('Material Handling'!$C$10:$AH$33,MATCH(L$97,Material_Handling[Data],0),MATCH($Q15,'Material Handling'!$C$40:$AH$40,0)), IFERROR(INDEX('Drop Point'!$B$13:$M$36,MATCH(L$97,'Drop Point'!$B$13:$B$37,0),MATCH($Q15,'Drop Point'!$B$41:$M$41,0)),
IFERROR(INDEX('Control - Grain dscf'!$C$11:$N$27,MATCH(L$97,'Control - Grain dscf'!$B$11:$B$27,0),MATCH($Q15,'Control - Grain dscf'!$C$32:$N$32,0)),
IFERROR(INDEX('Control - Alt'!$C$9:$O$27,MATCH(L$97,'Control - Alt'!$B$9:$B$27,0),MATCH($Q15,'Control - Alt'!$C$32:$O$32,0)),
IFERROR(INDEX(Stockpile!$C$10:$M$26,MATCH(L$97,Stockpile!$B$10:$B$26,0),MATCH($Q15,Stockpile!$C$30:$M$30,0)),
IFERROR(INDEX('Asphalt Silo &amp; Unloading'!$D$10:$M$44,MATCH(L$97,'Asphalt Silo &amp; Unloading'!$B$10:$B$44,0),MATCH($Q15,'Asphalt Silo &amp; Unloading'!$D$49:$M$49,0)),""))))))</f>
        <v/>
      </c>
      <c r="M15" s="590" t="str">
        <f>IFERROR(INDEX('Material Handling'!$C$10:$AH$33,MATCH(M$97,Material_Handling[Data],0),MATCH($Q15,'Material Handling'!$C$40:$AH$40,0)), IFERROR(INDEX('Drop Point'!$B$13:$M$36,MATCH(M$97,'Drop Point'!$B$13:$B$37,0),MATCH($Q15,'Drop Point'!$B$41:$M$41,0)),
IFERROR(INDEX('Control - Grain dscf'!$C$11:$N$27,MATCH(M$97,'Control - Grain dscf'!$B$11:$B$27,0),MATCH($Q15,'Control - Grain dscf'!$C$32:$N$32,0)),
IFERROR(INDEX('Control - Alt'!$C$9:$O$27,MATCH(M$97,'Control - Alt'!$B$9:$B$27,0),MATCH($Q15,'Control - Alt'!$C$32:$O$32,0)),
IFERROR(INDEX(Stockpile!$C$10:$M$26,MATCH(M$97,Stockpile!$B$10:$B$26,0),MATCH($Q15,Stockpile!$C$30:$M$30,0)),
IFERROR(INDEX('Asphalt Silo &amp; Unloading'!$D$10:$M$44,MATCH(M$97,'Asphalt Silo &amp; Unloading'!$B$10:$B$44,0),MATCH($Q15,'Asphalt Silo &amp; Unloading'!$D$49:$M$49,0)),""))))))</f>
        <v/>
      </c>
      <c r="N15" s="590" t="str">
        <f>IFERROR(INDEX('Material Handling'!$C$10:$AH$33,MATCH(N$97,Material_Handling[Data],0),MATCH($Q15,'Material Handling'!$C$40:$AH$40,0)), IFERROR(INDEX('Drop Point'!$B$13:$M$36,MATCH(N$97,'Drop Point'!$B$13:$B$37,0),MATCH($Q15,'Drop Point'!$B$41:$M$41,0)),
IFERROR(INDEX('Control - Grain dscf'!$C$11:$N$27,MATCH(N$97,'Control - Grain dscf'!$B$11:$B$27,0),MATCH($Q15,'Control - Grain dscf'!$C$32:$N$32,0)),
IFERROR(INDEX('Control - Alt'!$C$9:$O$27,MATCH(N$97,'Control - Alt'!$B$9:$B$27,0),MATCH($Q15,'Control - Alt'!$C$32:$O$32,0)),
IFERROR(INDEX(Stockpile!$C$10:$M$26,MATCH(N$97,Stockpile!$B$10:$B$26,0),MATCH($Q15,Stockpile!$C$30:$M$30,0)),
IFERROR(INDEX('Asphalt Silo &amp; Unloading'!$D$10:$M$44,MATCH(N$97,'Asphalt Silo &amp; Unloading'!$B$10:$B$44,0),MATCH($Q15,'Asphalt Silo &amp; Unloading'!$D$49:$M$49,0)),""))))))</f>
        <v/>
      </c>
      <c r="O15" s="591" t="str">
        <f>IFERROR(INDEX('Material Handling'!$C$10:$AH$33,MATCH(O$97,Material_Handling[Data],0),MATCH($Q15,'Material Handling'!$C$40:$AH$40,0)), IFERROR(INDEX('Drop Point'!$B$13:$M$36,MATCH(O$97,'Drop Point'!$B$13:$B$37,0),MATCH($Q15,'Drop Point'!$B$41:$M$41,0)),
IFERROR(INDEX('Control - Grain dscf'!$C$11:$N$27,MATCH(O$97,'Control - Grain dscf'!$B$11:$B$27,0),MATCH($Q15,'Control - Grain dscf'!$C$32:$N$32,0)),
IFERROR(INDEX('Control - Alt'!$C$9:$O$27,MATCH(O$97,'Control - Alt'!$B$9:$B$27,0),MATCH($Q15,'Control - Alt'!$C$32:$O$32,0)),
IFERROR(INDEX(Stockpile!$C$10:$M$26,MATCH(O$97,Stockpile!$B$10:$B$26,0),MATCH($Q15,Stockpile!$C$30:$M$30,0)),
IFERROR(INDEX('Asphalt Silo &amp; Unloading'!$D$10:$M$44,MATCH(O$97,'Asphalt Silo &amp; Unloading'!$B$10:$B$44,0),MATCH($Q15,'Asphalt Silo &amp; Unloading'!$D$49:$M$49,0)),""))))))</f>
        <v/>
      </c>
      <c r="Q15" s="131">
        <f t="shared" si="0"/>
        <v>7</v>
      </c>
    </row>
    <row r="16" spans="1:17" ht="20.100000000000001" customHeight="1">
      <c r="A16" s="293" t="str">
        <f>IFERROR(INDEX('Material Handling'!$C$10:$AH$33,MATCH(A$97,Material_Handling[Data],0),MATCH($Q16,'Material Handling'!$C$40:$AH$40,0)), IFERROR(INDEX('Drop Point'!$B$13:$M$36,MATCH(A$97,'Drop Point'!$B$13:$B$37,0),MATCH($Q16,'Drop Point'!$B$41:$M$41,0)),
IFERROR(INDEX('Control - Grain dscf'!$C$11:$N$27,MATCH(A$97,'Control - Grain dscf'!$B$11:$B$27,0),MATCH($Q16,'Control - Grain dscf'!$C$32:$N$32,0)),
IFERROR(INDEX('Control - Alt'!$C$9:$O$27,MATCH(A$97,'Control - Alt'!$B$9:$B$27,0),MATCH($Q16,'Control - Alt'!$C$32:$O$32,0)),
IFERROR(INDEX(Stockpile!$C$10:$M$26,MATCH(A$97,Stockpile!$B$10:$B$26,0),MATCH($Q16,Stockpile!$C$30:$M$30,0)),
IFERROR(INDEX('Asphalt Silo &amp; Unloading'!$D$10:$M$44,MATCH(A$97,'Asphalt Silo &amp; Unloading'!$B$10:$B$44,0),MATCH($Q16,'Asphalt Silo &amp; Unloading'!$D$49:$M$49,0)),""))))))</f>
        <v/>
      </c>
      <c r="B16" s="135" t="str">
        <f>IFERROR(INDEX('Material Handling'!$C$10:$AH$33,MATCH(B$97,Material_Handling[Data],0),MATCH($Q16,'Material Handling'!$C$40:$AH$40,0)), IFERROR(INDEX('Drop Point'!$B$13:$M$36,MATCH(B$97,'Drop Point'!$B$13:$B$37,0),MATCH($Q16,'Drop Point'!$B$41:$M$41,0)),
IFERROR(INDEX('Control - Grain dscf'!$C$11:$N$27,MATCH(B$97,'Control - Grain dscf'!$B$11:$B$27,0),MATCH($Q16,'Control - Grain dscf'!$C$32:$N$32,0)),
IFERROR(INDEX('Control - Alt'!$C$9:$O$27,MATCH(B$97,'Control - Alt'!$B$9:$B$27,0),MATCH($Q16,'Control - Alt'!$C$32:$O$32,0)),
IFERROR(INDEX(Stockpile!$C$10:$M$26,MATCH(B$97,Stockpile!$B$10:$B$26,0),MATCH($Q16,Stockpile!$C$30:$M$30,0)),
IFERROR(INDEX('Asphalt Silo &amp; Unloading'!$D$10:$M$44,MATCH(B$97,'Asphalt Silo &amp; Unloading'!$B$10:$B$44,0),MATCH($Q16,'Asphalt Silo &amp; Unloading'!$D$49:$M$49,0)),""))))))</f>
        <v/>
      </c>
      <c r="C16" s="135" t="str">
        <f>IFERROR(INDEX('Material Handling'!$C$10:$AH$33,MATCH(C$97,Material_Handling[Data],0),MATCH($Q16,'Material Handling'!$C$40:$AH$40,0)), IFERROR(INDEX('Drop Point'!$B$13:$M$36,MATCH(C$97,'Drop Point'!$B$13:$B$37,0),MATCH($Q16,'Drop Point'!$B$41:$M$41,0)),
IFERROR(INDEX('Control - Grain dscf'!$C$11:$N$27,MATCH(C$97,'Control - Grain dscf'!$B$11:$B$27,0),MATCH($Q16,'Control - Grain dscf'!$C$32:$N$32,0)),
IFERROR(INDEX('Control - Alt'!$C$9:$O$27,MATCH(C$97,'Control - Alt'!$B$9:$B$27,0),MATCH($Q16,'Control - Alt'!$C$32:$O$32,0)),
IFERROR(INDEX(Stockpile!$C$10:$M$26,MATCH(C$97,Stockpile!$B$10:$B$26,0),MATCH($Q16,Stockpile!$C$30:$M$30,0)),
IFERROR(INDEX('Asphalt Silo &amp; Unloading'!$D$10:$M$44,MATCH(C$97,'Asphalt Silo &amp; Unloading'!$B$10:$B$44,0),MATCH($Q16,'Asphalt Silo &amp; Unloading'!$D$49:$M$49,0)),""))))))</f>
        <v/>
      </c>
      <c r="D16" s="135" t="str">
        <f>IFERROR(INDEX('Material Handling'!$C$10:$AH$33,MATCH(D$97,Material_Handling[Data],0),MATCH($Q16,'Material Handling'!$C$40:$AH$40,0)), IFERROR(INDEX('Drop Point'!$B$13:$M$36,MATCH(D$97,'Drop Point'!$B$13:$B$37,0),MATCH($Q16,'Drop Point'!$B$41:$M$41,0)),
IFERROR(INDEX('Control - Grain dscf'!$C$11:$N$27,MATCH(D$97,'Control - Grain dscf'!$B$11:$B$27,0),MATCH($Q16,'Control - Grain dscf'!$C$32:$N$32,0)),
IFERROR(INDEX('Control - Alt'!$C$9:$O$27,MATCH(D$97,'Control - Alt'!$B$9:$B$27,0),MATCH($Q16,'Control - Alt'!$C$32:$O$32,0)),
IFERROR(INDEX(Stockpile!$C$10:$M$26,MATCH(D$97,Stockpile!$B$10:$B$26,0),MATCH($Q16,Stockpile!$C$30:$M$30,0)),
IFERROR(INDEX('Asphalt Silo &amp; Unloading'!$D$10:$M$44,MATCH(D$97,'Asphalt Silo &amp; Unloading'!$B$10:$B$44,0),MATCH($Q16,'Asphalt Silo &amp; Unloading'!$D$49:$M$49,0)),""))))))</f>
        <v/>
      </c>
      <c r="E16" s="620" t="str">
        <f>IFERROR(INDEX('Material Handling'!$C$10:$AH$33,MATCH(E$97,Material_Handling[Data],0),MATCH($Q16,'Material Handling'!$C$40:$AH$40,0)), IFERROR(INDEX('Drop Point'!$B$13:$M$36,MATCH(E$97,'Drop Point'!$B$13:$B$37,0),MATCH($Q16,'Drop Point'!$B$41:$M$41,0)),
IFERROR(INDEX('Control - Grain dscf'!$C$11:$N$27,MATCH(E$97,'Control - Grain dscf'!$B$11:$B$27,0),MATCH($Q16,'Control - Grain dscf'!$C$32:$N$32,0)),
IFERROR(INDEX('Control - Alt'!$C$9:$O$27,MATCH(E$97,'Control - Alt'!$B$9:$B$27,0),MATCH($Q16,'Control - Alt'!$C$32:$O$32,0)),
IFERROR(INDEX(Stockpile!$C$10:$M$26,MATCH(E$97,Stockpile!$B$10:$B$26,0),MATCH($Q16,Stockpile!$C$30:$M$30,0)),
IFERROR(INDEX('Asphalt Silo &amp; Unloading'!$D$10:$M$44,MATCH(E$97,'Asphalt Silo &amp; Unloading'!$B$10:$B$44,0),MATCH($Q16,'Asphalt Silo &amp; Unloading'!$D$49:$M$49,0)),""))))))</f>
        <v/>
      </c>
      <c r="F16" s="590" t="str">
        <f>IFERROR(INDEX('Material Handling'!$C$10:$AH$33,MATCH(F$97,Material_Handling[Data],0),MATCH($Q16,'Material Handling'!$C$40:$AH$40,0)), IFERROR(INDEX('Drop Point'!$B$13:$M$36,MATCH(F$97,'Drop Point'!$B$13:$B$37,0),MATCH($Q16,'Drop Point'!$B$41:$M$41,0)),
IFERROR(INDEX('Control - Grain dscf'!$C$11:$N$27,MATCH(F$97,'Control - Grain dscf'!$B$11:$B$27,0),MATCH($Q16,'Control - Grain dscf'!$C$32:$N$32,0)),
IFERROR(INDEX('Control - Alt'!$C$9:$O$27,MATCH(F$97,'Control - Alt'!$B$9:$B$27,0),MATCH($Q16,'Control - Alt'!$C$32:$O$32,0)),
IFERROR(INDEX(Stockpile!$C$10:$M$26,MATCH(F$97,Stockpile!$B$10:$B$26,0),MATCH($Q16,Stockpile!$C$30:$M$30,0)),
IFERROR(INDEX('Asphalt Silo &amp; Unloading'!$D$10:$M$44,MATCH(F$97,'Asphalt Silo &amp; Unloading'!$B$10:$B$44,0),MATCH($Q16,'Asphalt Silo &amp; Unloading'!$D$49:$M$49,0)),""))))))</f>
        <v/>
      </c>
      <c r="G16" s="590" t="str">
        <f>IFERROR(INDEX('Material Handling'!$C$10:$AH$33,MATCH(G$97,Material_Handling[Data],0),MATCH($Q16,'Material Handling'!$C$40:$AH$40,0)), IFERROR(INDEX('Drop Point'!$B$13:$M$36,MATCH(G$97,'Drop Point'!$B$13:$B$37,0),MATCH($Q16,'Drop Point'!$B$41:$M$41,0)),
IFERROR(INDEX('Control - Grain dscf'!$C$11:$N$27,MATCH(G$97,'Control - Grain dscf'!$B$11:$B$27,0),MATCH($Q16,'Control - Grain dscf'!$C$32:$N$32,0)),
IFERROR(INDEX('Control - Alt'!$C$9:$O$27,MATCH(G$97,'Control - Alt'!$B$9:$B$27,0),MATCH($Q16,'Control - Alt'!$C$32:$O$32,0)),
IFERROR(INDEX(Stockpile!$C$10:$M$26,MATCH(G$97,Stockpile!$B$10:$B$26,0),MATCH($Q16,Stockpile!$C$30:$M$30,0)),
IFERROR(INDEX('Asphalt Silo &amp; Unloading'!$D$10:$M$44,MATCH(G$97,'Asphalt Silo &amp; Unloading'!$B$10:$B$44,0),MATCH($Q16,'Asphalt Silo &amp; Unloading'!$D$49:$M$49,0)),""))))))</f>
        <v/>
      </c>
      <c r="H16" s="590" t="str">
        <f>IFERROR(INDEX('Material Handling'!$C$10:$AH$33,MATCH(H$97,Material_Handling[Data],0),MATCH($Q16,'Material Handling'!$C$40:$AH$40,0)), IFERROR(INDEX('Drop Point'!$B$13:$M$36,MATCH(H$97,'Drop Point'!$B$13:$B$37,0),MATCH($Q16,'Drop Point'!$B$41:$M$41,0)),
IFERROR(INDEX('Control - Grain dscf'!$C$11:$N$27,MATCH(H$97,'Control - Grain dscf'!$B$11:$B$27,0),MATCH($Q16,'Control - Grain dscf'!$C$32:$N$32,0)),
IFERROR(INDEX('Control - Alt'!$C$9:$O$27,MATCH(H$97,'Control - Alt'!$B$9:$B$27,0),MATCH($Q16,'Control - Alt'!$C$32:$O$32,0)),
IFERROR(INDEX(Stockpile!$C$10:$M$26,MATCH(H$97,Stockpile!$B$10:$B$26,0),MATCH($Q16,Stockpile!$C$30:$M$30,0)),
IFERROR(INDEX('Asphalt Silo &amp; Unloading'!$D$10:$M$44,MATCH(H$97,'Asphalt Silo &amp; Unloading'!$B$10:$B$44,0),MATCH($Q16,'Asphalt Silo &amp; Unloading'!$D$49:$M$49,0)),""))))))</f>
        <v/>
      </c>
      <c r="I16" s="590" t="str">
        <f>IFERROR(INDEX('Material Handling'!$C$10:$AH$33,MATCH(I$97,Material_Handling[Data],0),MATCH($Q16,'Material Handling'!$C$40:$AH$40,0)), IFERROR(INDEX('Drop Point'!$B$13:$M$36,MATCH(I$97,'Drop Point'!$B$13:$B$37,0),MATCH($Q16,'Drop Point'!$B$41:$M$41,0)),
IFERROR(INDEX('Control - Grain dscf'!$C$11:$N$27,MATCH(I$97,'Control - Grain dscf'!$B$11:$B$27,0),MATCH($Q16,'Control - Grain dscf'!$C$32:$N$32,0)),
IFERROR(INDEX('Control - Alt'!$C$9:$O$27,MATCH(I$97,'Control - Alt'!$B$9:$B$27,0),MATCH($Q16,'Control - Alt'!$C$32:$O$32,0)),
IFERROR(INDEX(Stockpile!$C$10:$M$26,MATCH(I$97,Stockpile!$B$10:$B$26,0),MATCH($Q16,Stockpile!$C$30:$M$30,0)),
IFERROR(INDEX('Asphalt Silo &amp; Unloading'!$D$10:$M$44,MATCH(I$97,'Asphalt Silo &amp; Unloading'!$B$10:$B$44,0),MATCH($Q16,'Asphalt Silo &amp; Unloading'!$D$49:$M$49,0)),""))))))</f>
        <v/>
      </c>
      <c r="J16" s="590" t="str">
        <f>IFERROR(INDEX('Material Handling'!$C$10:$AH$33,MATCH(J$97,Material_Handling[Data],0),MATCH($Q16,'Material Handling'!$C$40:$AH$40,0)), IFERROR(INDEX('Drop Point'!$B$13:$M$36,MATCH(J$97,'Drop Point'!$B$13:$B$37,0),MATCH($Q16,'Drop Point'!$B$41:$M$41,0)),
IFERROR(INDEX('Control - Grain dscf'!$C$11:$N$27,MATCH(J$97,'Control - Grain dscf'!$B$11:$B$27,0),MATCH($Q16,'Control - Grain dscf'!$C$32:$N$32,0)),
IFERROR(INDEX('Control - Alt'!$C$9:$O$27,MATCH(J$97,'Control - Alt'!$B$9:$B$27,0),MATCH($Q16,'Control - Alt'!$C$32:$O$32,0)),
IFERROR(INDEX(Stockpile!$C$10:$M$26,MATCH(J$97,Stockpile!$B$10:$B$26,0),MATCH($Q16,Stockpile!$C$30:$M$30,0)),
IFERROR(INDEX('Asphalt Silo &amp; Unloading'!$D$10:$M$44,MATCH(J$97,'Asphalt Silo &amp; Unloading'!$B$10:$B$44,0),MATCH($Q16,'Asphalt Silo &amp; Unloading'!$D$49:$M$49,0)),""))))))</f>
        <v/>
      </c>
      <c r="K16" s="590" t="str">
        <f>IFERROR(INDEX('Material Handling'!$C$10:$AH$33,MATCH(K$97,Material_Handling[Data],0),MATCH($Q16,'Material Handling'!$C$40:$AH$40,0)), IFERROR(INDEX('Drop Point'!$B$13:$M$36,MATCH(K$97,'Drop Point'!$B$13:$B$37,0),MATCH($Q16,'Drop Point'!$B$41:$M$41,0)),
IFERROR(INDEX('Control - Grain dscf'!$C$11:$N$27,MATCH(K$97,'Control - Grain dscf'!$B$11:$B$27,0),MATCH($Q16,'Control - Grain dscf'!$C$32:$N$32,0)),
IFERROR(INDEX('Control - Alt'!$C$9:$O$27,MATCH(K$97,'Control - Alt'!$B$9:$B$27,0),MATCH($Q16,'Control - Alt'!$C$32:$O$32,0)),
IFERROR(INDEX(Stockpile!$C$10:$M$26,MATCH(K$97,Stockpile!$B$10:$B$26,0),MATCH($Q16,Stockpile!$C$30:$M$30,0)),
IFERROR(INDEX('Asphalt Silo &amp; Unloading'!$D$10:$M$44,MATCH(K$97,'Asphalt Silo &amp; Unloading'!$B$10:$B$44,0),MATCH($Q16,'Asphalt Silo &amp; Unloading'!$D$49:$M$49,0)),""))))))</f>
        <v/>
      </c>
      <c r="L16" s="590" t="str">
        <f>IFERROR(INDEX('Material Handling'!$C$10:$AH$33,MATCH(L$97,Material_Handling[Data],0),MATCH($Q16,'Material Handling'!$C$40:$AH$40,0)), IFERROR(INDEX('Drop Point'!$B$13:$M$36,MATCH(L$97,'Drop Point'!$B$13:$B$37,0),MATCH($Q16,'Drop Point'!$B$41:$M$41,0)),
IFERROR(INDEX('Control - Grain dscf'!$C$11:$N$27,MATCH(L$97,'Control - Grain dscf'!$B$11:$B$27,0),MATCH($Q16,'Control - Grain dscf'!$C$32:$N$32,0)),
IFERROR(INDEX('Control - Alt'!$C$9:$O$27,MATCH(L$97,'Control - Alt'!$B$9:$B$27,0),MATCH($Q16,'Control - Alt'!$C$32:$O$32,0)),
IFERROR(INDEX(Stockpile!$C$10:$M$26,MATCH(L$97,Stockpile!$B$10:$B$26,0),MATCH($Q16,Stockpile!$C$30:$M$30,0)),
IFERROR(INDEX('Asphalt Silo &amp; Unloading'!$D$10:$M$44,MATCH(L$97,'Asphalt Silo &amp; Unloading'!$B$10:$B$44,0),MATCH($Q16,'Asphalt Silo &amp; Unloading'!$D$49:$M$49,0)),""))))))</f>
        <v/>
      </c>
      <c r="M16" s="590" t="str">
        <f>IFERROR(INDEX('Material Handling'!$C$10:$AH$33,MATCH(M$97,Material_Handling[Data],0),MATCH($Q16,'Material Handling'!$C$40:$AH$40,0)), IFERROR(INDEX('Drop Point'!$B$13:$M$36,MATCH(M$97,'Drop Point'!$B$13:$B$37,0),MATCH($Q16,'Drop Point'!$B$41:$M$41,0)),
IFERROR(INDEX('Control - Grain dscf'!$C$11:$N$27,MATCH(M$97,'Control - Grain dscf'!$B$11:$B$27,0),MATCH($Q16,'Control - Grain dscf'!$C$32:$N$32,0)),
IFERROR(INDEX('Control - Alt'!$C$9:$O$27,MATCH(M$97,'Control - Alt'!$B$9:$B$27,0),MATCH($Q16,'Control - Alt'!$C$32:$O$32,0)),
IFERROR(INDEX(Stockpile!$C$10:$M$26,MATCH(M$97,Stockpile!$B$10:$B$26,0),MATCH($Q16,Stockpile!$C$30:$M$30,0)),
IFERROR(INDEX('Asphalt Silo &amp; Unloading'!$D$10:$M$44,MATCH(M$97,'Asphalt Silo &amp; Unloading'!$B$10:$B$44,0),MATCH($Q16,'Asphalt Silo &amp; Unloading'!$D$49:$M$49,0)),""))))))</f>
        <v/>
      </c>
      <c r="N16" s="590" t="str">
        <f>IFERROR(INDEX('Material Handling'!$C$10:$AH$33,MATCH(N$97,Material_Handling[Data],0),MATCH($Q16,'Material Handling'!$C$40:$AH$40,0)), IFERROR(INDEX('Drop Point'!$B$13:$M$36,MATCH(N$97,'Drop Point'!$B$13:$B$37,0),MATCH($Q16,'Drop Point'!$B$41:$M$41,0)),
IFERROR(INDEX('Control - Grain dscf'!$C$11:$N$27,MATCH(N$97,'Control - Grain dscf'!$B$11:$B$27,0),MATCH($Q16,'Control - Grain dscf'!$C$32:$N$32,0)),
IFERROR(INDEX('Control - Alt'!$C$9:$O$27,MATCH(N$97,'Control - Alt'!$B$9:$B$27,0),MATCH($Q16,'Control - Alt'!$C$32:$O$32,0)),
IFERROR(INDEX(Stockpile!$C$10:$M$26,MATCH(N$97,Stockpile!$B$10:$B$26,0),MATCH($Q16,Stockpile!$C$30:$M$30,0)),
IFERROR(INDEX('Asphalt Silo &amp; Unloading'!$D$10:$M$44,MATCH(N$97,'Asphalt Silo &amp; Unloading'!$B$10:$B$44,0),MATCH($Q16,'Asphalt Silo &amp; Unloading'!$D$49:$M$49,0)),""))))))</f>
        <v/>
      </c>
      <c r="O16" s="591" t="str">
        <f>IFERROR(INDEX('Material Handling'!$C$10:$AH$33,MATCH(O$97,Material_Handling[Data],0),MATCH($Q16,'Material Handling'!$C$40:$AH$40,0)), IFERROR(INDEX('Drop Point'!$B$13:$M$36,MATCH(O$97,'Drop Point'!$B$13:$B$37,0),MATCH($Q16,'Drop Point'!$B$41:$M$41,0)),
IFERROR(INDEX('Control - Grain dscf'!$C$11:$N$27,MATCH(O$97,'Control - Grain dscf'!$B$11:$B$27,0),MATCH($Q16,'Control - Grain dscf'!$C$32:$N$32,0)),
IFERROR(INDEX('Control - Alt'!$C$9:$O$27,MATCH(O$97,'Control - Alt'!$B$9:$B$27,0),MATCH($Q16,'Control - Alt'!$C$32:$O$32,0)),
IFERROR(INDEX(Stockpile!$C$10:$M$26,MATCH(O$97,Stockpile!$B$10:$B$26,0),MATCH($Q16,Stockpile!$C$30:$M$30,0)),
IFERROR(INDEX('Asphalt Silo &amp; Unloading'!$D$10:$M$44,MATCH(O$97,'Asphalt Silo &amp; Unloading'!$B$10:$B$44,0),MATCH($Q16,'Asphalt Silo &amp; Unloading'!$D$49:$M$49,0)),""))))))</f>
        <v/>
      </c>
      <c r="Q16" s="131">
        <f t="shared" si="0"/>
        <v>8</v>
      </c>
    </row>
    <row r="17" spans="1:17" ht="20.100000000000001" customHeight="1">
      <c r="A17" s="293" t="str">
        <f>IFERROR(INDEX('Material Handling'!$C$10:$AH$33,MATCH(A$97,Material_Handling[Data],0),MATCH($Q17,'Material Handling'!$C$40:$AH$40,0)), IFERROR(INDEX('Drop Point'!$B$13:$M$36,MATCH(A$97,'Drop Point'!$B$13:$B$37,0),MATCH($Q17,'Drop Point'!$B$41:$M$41,0)),
IFERROR(INDEX('Control - Grain dscf'!$C$11:$N$27,MATCH(A$97,'Control - Grain dscf'!$B$11:$B$27,0),MATCH($Q17,'Control - Grain dscf'!$C$32:$N$32,0)),
IFERROR(INDEX('Control - Alt'!$C$9:$O$27,MATCH(A$97,'Control - Alt'!$B$9:$B$27,0),MATCH($Q17,'Control - Alt'!$C$32:$O$32,0)),
IFERROR(INDEX(Stockpile!$C$10:$M$26,MATCH(A$97,Stockpile!$B$10:$B$26,0),MATCH($Q17,Stockpile!$C$30:$M$30,0)),
IFERROR(INDEX('Asphalt Silo &amp; Unloading'!$D$10:$M$44,MATCH(A$97,'Asphalt Silo &amp; Unloading'!$B$10:$B$44,0),MATCH($Q17,'Asphalt Silo &amp; Unloading'!$D$49:$M$49,0)),""))))))</f>
        <v/>
      </c>
      <c r="B17" s="135" t="str">
        <f>IFERROR(INDEX('Material Handling'!$C$10:$AH$33,MATCH(B$97,Material_Handling[Data],0),MATCH($Q17,'Material Handling'!$C$40:$AH$40,0)), IFERROR(INDEX('Drop Point'!$B$13:$M$36,MATCH(B$97,'Drop Point'!$B$13:$B$37,0),MATCH($Q17,'Drop Point'!$B$41:$M$41,0)),
IFERROR(INDEX('Control - Grain dscf'!$C$11:$N$27,MATCH(B$97,'Control - Grain dscf'!$B$11:$B$27,0),MATCH($Q17,'Control - Grain dscf'!$C$32:$N$32,0)),
IFERROR(INDEX('Control - Alt'!$C$9:$O$27,MATCH(B$97,'Control - Alt'!$B$9:$B$27,0),MATCH($Q17,'Control - Alt'!$C$32:$O$32,0)),
IFERROR(INDEX(Stockpile!$C$10:$M$26,MATCH(B$97,Stockpile!$B$10:$B$26,0),MATCH($Q17,Stockpile!$C$30:$M$30,0)),
IFERROR(INDEX('Asphalt Silo &amp; Unloading'!$D$10:$M$44,MATCH(B$97,'Asphalt Silo &amp; Unloading'!$B$10:$B$44,0),MATCH($Q17,'Asphalt Silo &amp; Unloading'!$D$49:$M$49,0)),""))))))</f>
        <v/>
      </c>
      <c r="C17" s="135" t="str">
        <f>IFERROR(INDEX('Material Handling'!$C$10:$AH$33,MATCH(C$97,Material_Handling[Data],0),MATCH($Q17,'Material Handling'!$C$40:$AH$40,0)), IFERROR(INDEX('Drop Point'!$B$13:$M$36,MATCH(C$97,'Drop Point'!$B$13:$B$37,0),MATCH($Q17,'Drop Point'!$B$41:$M$41,0)),
IFERROR(INDEX('Control - Grain dscf'!$C$11:$N$27,MATCH(C$97,'Control - Grain dscf'!$B$11:$B$27,0),MATCH($Q17,'Control - Grain dscf'!$C$32:$N$32,0)),
IFERROR(INDEX('Control - Alt'!$C$9:$O$27,MATCH(C$97,'Control - Alt'!$B$9:$B$27,0),MATCH($Q17,'Control - Alt'!$C$32:$O$32,0)),
IFERROR(INDEX(Stockpile!$C$10:$M$26,MATCH(C$97,Stockpile!$B$10:$B$26,0),MATCH($Q17,Stockpile!$C$30:$M$30,0)),
IFERROR(INDEX('Asphalt Silo &amp; Unloading'!$D$10:$M$44,MATCH(C$97,'Asphalt Silo &amp; Unloading'!$B$10:$B$44,0),MATCH($Q17,'Asphalt Silo &amp; Unloading'!$D$49:$M$49,0)),""))))))</f>
        <v/>
      </c>
      <c r="D17" s="135" t="str">
        <f>IFERROR(INDEX('Material Handling'!$C$10:$AH$33,MATCH(D$97,Material_Handling[Data],0),MATCH($Q17,'Material Handling'!$C$40:$AH$40,0)), IFERROR(INDEX('Drop Point'!$B$13:$M$36,MATCH(D$97,'Drop Point'!$B$13:$B$37,0),MATCH($Q17,'Drop Point'!$B$41:$M$41,0)),
IFERROR(INDEX('Control - Grain dscf'!$C$11:$N$27,MATCH(D$97,'Control - Grain dscf'!$B$11:$B$27,0),MATCH($Q17,'Control - Grain dscf'!$C$32:$N$32,0)),
IFERROR(INDEX('Control - Alt'!$C$9:$O$27,MATCH(D$97,'Control - Alt'!$B$9:$B$27,0),MATCH($Q17,'Control - Alt'!$C$32:$O$32,0)),
IFERROR(INDEX(Stockpile!$C$10:$M$26,MATCH(D$97,Stockpile!$B$10:$B$26,0),MATCH($Q17,Stockpile!$C$30:$M$30,0)),
IFERROR(INDEX('Asphalt Silo &amp; Unloading'!$D$10:$M$44,MATCH(D$97,'Asphalt Silo &amp; Unloading'!$B$10:$B$44,0),MATCH($Q17,'Asphalt Silo &amp; Unloading'!$D$49:$M$49,0)),""))))))</f>
        <v/>
      </c>
      <c r="E17" s="620" t="str">
        <f>IFERROR(INDEX('Material Handling'!$C$10:$AH$33,MATCH(E$97,Material_Handling[Data],0),MATCH($Q17,'Material Handling'!$C$40:$AH$40,0)), IFERROR(INDEX('Drop Point'!$B$13:$M$36,MATCH(E$97,'Drop Point'!$B$13:$B$37,0),MATCH($Q17,'Drop Point'!$B$41:$M$41,0)),
IFERROR(INDEX('Control - Grain dscf'!$C$11:$N$27,MATCH(E$97,'Control - Grain dscf'!$B$11:$B$27,0),MATCH($Q17,'Control - Grain dscf'!$C$32:$N$32,0)),
IFERROR(INDEX('Control - Alt'!$C$9:$O$27,MATCH(E$97,'Control - Alt'!$B$9:$B$27,0),MATCH($Q17,'Control - Alt'!$C$32:$O$32,0)),
IFERROR(INDEX(Stockpile!$C$10:$M$26,MATCH(E$97,Stockpile!$B$10:$B$26,0),MATCH($Q17,Stockpile!$C$30:$M$30,0)),
IFERROR(INDEX('Asphalt Silo &amp; Unloading'!$D$10:$M$44,MATCH(E$97,'Asphalt Silo &amp; Unloading'!$B$10:$B$44,0),MATCH($Q17,'Asphalt Silo &amp; Unloading'!$D$49:$M$49,0)),""))))))</f>
        <v/>
      </c>
      <c r="F17" s="590" t="str">
        <f>IFERROR(INDEX('Material Handling'!$C$10:$AH$33,MATCH(F$97,Material_Handling[Data],0),MATCH($Q17,'Material Handling'!$C$40:$AH$40,0)), IFERROR(INDEX('Drop Point'!$B$13:$M$36,MATCH(F$97,'Drop Point'!$B$13:$B$37,0),MATCH($Q17,'Drop Point'!$B$41:$M$41,0)),
IFERROR(INDEX('Control - Grain dscf'!$C$11:$N$27,MATCH(F$97,'Control - Grain dscf'!$B$11:$B$27,0),MATCH($Q17,'Control - Grain dscf'!$C$32:$N$32,0)),
IFERROR(INDEX('Control - Alt'!$C$9:$O$27,MATCH(F$97,'Control - Alt'!$B$9:$B$27,0),MATCH($Q17,'Control - Alt'!$C$32:$O$32,0)),
IFERROR(INDEX(Stockpile!$C$10:$M$26,MATCH(F$97,Stockpile!$B$10:$B$26,0),MATCH($Q17,Stockpile!$C$30:$M$30,0)),
IFERROR(INDEX('Asphalt Silo &amp; Unloading'!$D$10:$M$44,MATCH(F$97,'Asphalt Silo &amp; Unloading'!$B$10:$B$44,0),MATCH($Q17,'Asphalt Silo &amp; Unloading'!$D$49:$M$49,0)),""))))))</f>
        <v/>
      </c>
      <c r="G17" s="590" t="str">
        <f>IFERROR(INDEX('Material Handling'!$C$10:$AH$33,MATCH(G$97,Material_Handling[Data],0),MATCH($Q17,'Material Handling'!$C$40:$AH$40,0)), IFERROR(INDEX('Drop Point'!$B$13:$M$36,MATCH(G$97,'Drop Point'!$B$13:$B$37,0),MATCH($Q17,'Drop Point'!$B$41:$M$41,0)),
IFERROR(INDEX('Control - Grain dscf'!$C$11:$N$27,MATCH(G$97,'Control - Grain dscf'!$B$11:$B$27,0),MATCH($Q17,'Control - Grain dscf'!$C$32:$N$32,0)),
IFERROR(INDEX('Control - Alt'!$C$9:$O$27,MATCH(G$97,'Control - Alt'!$B$9:$B$27,0),MATCH($Q17,'Control - Alt'!$C$32:$O$32,0)),
IFERROR(INDEX(Stockpile!$C$10:$M$26,MATCH(G$97,Stockpile!$B$10:$B$26,0),MATCH($Q17,Stockpile!$C$30:$M$30,0)),
IFERROR(INDEX('Asphalt Silo &amp; Unloading'!$D$10:$M$44,MATCH(G$97,'Asphalt Silo &amp; Unloading'!$B$10:$B$44,0),MATCH($Q17,'Asphalt Silo &amp; Unloading'!$D$49:$M$49,0)),""))))))</f>
        <v/>
      </c>
      <c r="H17" s="590" t="str">
        <f>IFERROR(INDEX('Material Handling'!$C$10:$AH$33,MATCH(H$97,Material_Handling[Data],0),MATCH($Q17,'Material Handling'!$C$40:$AH$40,0)), IFERROR(INDEX('Drop Point'!$B$13:$M$36,MATCH(H$97,'Drop Point'!$B$13:$B$37,0),MATCH($Q17,'Drop Point'!$B$41:$M$41,0)),
IFERROR(INDEX('Control - Grain dscf'!$C$11:$N$27,MATCH(H$97,'Control - Grain dscf'!$B$11:$B$27,0),MATCH($Q17,'Control - Grain dscf'!$C$32:$N$32,0)),
IFERROR(INDEX('Control - Alt'!$C$9:$O$27,MATCH(H$97,'Control - Alt'!$B$9:$B$27,0),MATCH($Q17,'Control - Alt'!$C$32:$O$32,0)),
IFERROR(INDEX(Stockpile!$C$10:$M$26,MATCH(H$97,Stockpile!$B$10:$B$26,0),MATCH($Q17,Stockpile!$C$30:$M$30,0)),
IFERROR(INDEX('Asphalt Silo &amp; Unloading'!$D$10:$M$44,MATCH(H$97,'Asphalt Silo &amp; Unloading'!$B$10:$B$44,0),MATCH($Q17,'Asphalt Silo &amp; Unloading'!$D$49:$M$49,0)),""))))))</f>
        <v/>
      </c>
      <c r="I17" s="590" t="str">
        <f>IFERROR(INDEX('Material Handling'!$C$10:$AH$33,MATCH(I$97,Material_Handling[Data],0),MATCH($Q17,'Material Handling'!$C$40:$AH$40,0)), IFERROR(INDEX('Drop Point'!$B$13:$M$36,MATCH(I$97,'Drop Point'!$B$13:$B$37,0),MATCH($Q17,'Drop Point'!$B$41:$M$41,0)),
IFERROR(INDEX('Control - Grain dscf'!$C$11:$N$27,MATCH(I$97,'Control - Grain dscf'!$B$11:$B$27,0),MATCH($Q17,'Control - Grain dscf'!$C$32:$N$32,0)),
IFERROR(INDEX('Control - Alt'!$C$9:$O$27,MATCH(I$97,'Control - Alt'!$B$9:$B$27,0),MATCH($Q17,'Control - Alt'!$C$32:$O$32,0)),
IFERROR(INDEX(Stockpile!$C$10:$M$26,MATCH(I$97,Stockpile!$B$10:$B$26,0),MATCH($Q17,Stockpile!$C$30:$M$30,0)),
IFERROR(INDEX('Asphalt Silo &amp; Unloading'!$D$10:$M$44,MATCH(I$97,'Asphalt Silo &amp; Unloading'!$B$10:$B$44,0),MATCH($Q17,'Asphalt Silo &amp; Unloading'!$D$49:$M$49,0)),""))))))</f>
        <v/>
      </c>
      <c r="J17" s="590" t="str">
        <f>IFERROR(INDEX('Material Handling'!$C$10:$AH$33,MATCH(J$97,Material_Handling[Data],0),MATCH($Q17,'Material Handling'!$C$40:$AH$40,0)), IFERROR(INDEX('Drop Point'!$B$13:$M$36,MATCH(J$97,'Drop Point'!$B$13:$B$37,0),MATCH($Q17,'Drop Point'!$B$41:$M$41,0)),
IFERROR(INDEX('Control - Grain dscf'!$C$11:$N$27,MATCH(J$97,'Control - Grain dscf'!$B$11:$B$27,0),MATCH($Q17,'Control - Grain dscf'!$C$32:$N$32,0)),
IFERROR(INDEX('Control - Alt'!$C$9:$O$27,MATCH(J$97,'Control - Alt'!$B$9:$B$27,0),MATCH($Q17,'Control - Alt'!$C$32:$O$32,0)),
IFERROR(INDEX(Stockpile!$C$10:$M$26,MATCH(J$97,Stockpile!$B$10:$B$26,0),MATCH($Q17,Stockpile!$C$30:$M$30,0)),
IFERROR(INDEX('Asphalt Silo &amp; Unloading'!$D$10:$M$44,MATCH(J$97,'Asphalt Silo &amp; Unloading'!$B$10:$B$44,0),MATCH($Q17,'Asphalt Silo &amp; Unloading'!$D$49:$M$49,0)),""))))))</f>
        <v/>
      </c>
      <c r="K17" s="590" t="str">
        <f>IFERROR(INDEX('Material Handling'!$C$10:$AH$33,MATCH(K$97,Material_Handling[Data],0),MATCH($Q17,'Material Handling'!$C$40:$AH$40,0)), IFERROR(INDEX('Drop Point'!$B$13:$M$36,MATCH(K$97,'Drop Point'!$B$13:$B$37,0),MATCH($Q17,'Drop Point'!$B$41:$M$41,0)),
IFERROR(INDEX('Control - Grain dscf'!$C$11:$N$27,MATCH(K$97,'Control - Grain dscf'!$B$11:$B$27,0),MATCH($Q17,'Control - Grain dscf'!$C$32:$N$32,0)),
IFERROR(INDEX('Control - Alt'!$C$9:$O$27,MATCH(K$97,'Control - Alt'!$B$9:$B$27,0),MATCH($Q17,'Control - Alt'!$C$32:$O$32,0)),
IFERROR(INDEX(Stockpile!$C$10:$M$26,MATCH(K$97,Stockpile!$B$10:$B$26,0),MATCH($Q17,Stockpile!$C$30:$M$30,0)),
IFERROR(INDEX('Asphalt Silo &amp; Unloading'!$D$10:$M$44,MATCH(K$97,'Asphalt Silo &amp; Unloading'!$B$10:$B$44,0),MATCH($Q17,'Asphalt Silo &amp; Unloading'!$D$49:$M$49,0)),""))))))</f>
        <v/>
      </c>
      <c r="L17" s="590" t="str">
        <f>IFERROR(INDEX('Material Handling'!$C$10:$AH$33,MATCH(L$97,Material_Handling[Data],0),MATCH($Q17,'Material Handling'!$C$40:$AH$40,0)), IFERROR(INDEX('Drop Point'!$B$13:$M$36,MATCH(L$97,'Drop Point'!$B$13:$B$37,0),MATCH($Q17,'Drop Point'!$B$41:$M$41,0)),
IFERROR(INDEX('Control - Grain dscf'!$C$11:$N$27,MATCH(L$97,'Control - Grain dscf'!$B$11:$B$27,0),MATCH($Q17,'Control - Grain dscf'!$C$32:$N$32,0)),
IFERROR(INDEX('Control - Alt'!$C$9:$O$27,MATCH(L$97,'Control - Alt'!$B$9:$B$27,0),MATCH($Q17,'Control - Alt'!$C$32:$O$32,0)),
IFERROR(INDEX(Stockpile!$C$10:$M$26,MATCH(L$97,Stockpile!$B$10:$B$26,0),MATCH($Q17,Stockpile!$C$30:$M$30,0)),
IFERROR(INDEX('Asphalt Silo &amp; Unloading'!$D$10:$M$44,MATCH(L$97,'Asphalt Silo &amp; Unloading'!$B$10:$B$44,0),MATCH($Q17,'Asphalt Silo &amp; Unloading'!$D$49:$M$49,0)),""))))))</f>
        <v/>
      </c>
      <c r="M17" s="590" t="str">
        <f>IFERROR(INDEX('Material Handling'!$C$10:$AH$33,MATCH(M$97,Material_Handling[Data],0),MATCH($Q17,'Material Handling'!$C$40:$AH$40,0)), IFERROR(INDEX('Drop Point'!$B$13:$M$36,MATCH(M$97,'Drop Point'!$B$13:$B$37,0),MATCH($Q17,'Drop Point'!$B$41:$M$41,0)),
IFERROR(INDEX('Control - Grain dscf'!$C$11:$N$27,MATCH(M$97,'Control - Grain dscf'!$B$11:$B$27,0),MATCH($Q17,'Control - Grain dscf'!$C$32:$N$32,0)),
IFERROR(INDEX('Control - Alt'!$C$9:$O$27,MATCH(M$97,'Control - Alt'!$B$9:$B$27,0),MATCH($Q17,'Control - Alt'!$C$32:$O$32,0)),
IFERROR(INDEX(Stockpile!$C$10:$M$26,MATCH(M$97,Stockpile!$B$10:$B$26,0),MATCH($Q17,Stockpile!$C$30:$M$30,0)),
IFERROR(INDEX('Asphalt Silo &amp; Unloading'!$D$10:$M$44,MATCH(M$97,'Asphalt Silo &amp; Unloading'!$B$10:$B$44,0),MATCH($Q17,'Asphalt Silo &amp; Unloading'!$D$49:$M$49,0)),""))))))</f>
        <v/>
      </c>
      <c r="N17" s="590" t="str">
        <f>IFERROR(INDEX('Material Handling'!$C$10:$AH$33,MATCH(N$97,Material_Handling[Data],0),MATCH($Q17,'Material Handling'!$C$40:$AH$40,0)), IFERROR(INDEX('Drop Point'!$B$13:$M$36,MATCH(N$97,'Drop Point'!$B$13:$B$37,0),MATCH($Q17,'Drop Point'!$B$41:$M$41,0)),
IFERROR(INDEX('Control - Grain dscf'!$C$11:$N$27,MATCH(N$97,'Control - Grain dscf'!$B$11:$B$27,0),MATCH($Q17,'Control - Grain dscf'!$C$32:$N$32,0)),
IFERROR(INDEX('Control - Alt'!$C$9:$O$27,MATCH(N$97,'Control - Alt'!$B$9:$B$27,0),MATCH($Q17,'Control - Alt'!$C$32:$O$32,0)),
IFERROR(INDEX(Stockpile!$C$10:$M$26,MATCH(N$97,Stockpile!$B$10:$B$26,0),MATCH($Q17,Stockpile!$C$30:$M$30,0)),
IFERROR(INDEX('Asphalt Silo &amp; Unloading'!$D$10:$M$44,MATCH(N$97,'Asphalt Silo &amp; Unloading'!$B$10:$B$44,0),MATCH($Q17,'Asphalt Silo &amp; Unloading'!$D$49:$M$49,0)),""))))))</f>
        <v/>
      </c>
      <c r="O17" s="591" t="str">
        <f>IFERROR(INDEX('Material Handling'!$C$10:$AH$33,MATCH(O$97,Material_Handling[Data],0),MATCH($Q17,'Material Handling'!$C$40:$AH$40,0)), IFERROR(INDEX('Drop Point'!$B$13:$M$36,MATCH(O$97,'Drop Point'!$B$13:$B$37,0),MATCH($Q17,'Drop Point'!$B$41:$M$41,0)),
IFERROR(INDEX('Control - Grain dscf'!$C$11:$N$27,MATCH(O$97,'Control - Grain dscf'!$B$11:$B$27,0),MATCH($Q17,'Control - Grain dscf'!$C$32:$N$32,0)),
IFERROR(INDEX('Control - Alt'!$C$9:$O$27,MATCH(O$97,'Control - Alt'!$B$9:$B$27,0),MATCH($Q17,'Control - Alt'!$C$32:$O$32,0)),
IFERROR(INDEX(Stockpile!$C$10:$M$26,MATCH(O$97,Stockpile!$B$10:$B$26,0),MATCH($Q17,Stockpile!$C$30:$M$30,0)),
IFERROR(INDEX('Asphalt Silo &amp; Unloading'!$D$10:$M$44,MATCH(O$97,'Asphalt Silo &amp; Unloading'!$B$10:$B$44,0),MATCH($Q17,'Asphalt Silo &amp; Unloading'!$D$49:$M$49,0)),""))))))</f>
        <v/>
      </c>
      <c r="Q17" s="131">
        <f t="shared" si="0"/>
        <v>9</v>
      </c>
    </row>
    <row r="18" spans="1:17" ht="20.100000000000001" customHeight="1">
      <c r="A18" s="293" t="str">
        <f>IFERROR(INDEX('Material Handling'!$C$10:$AH$33,MATCH(A$97,Material_Handling[Data],0),MATCH($Q18,'Material Handling'!$C$40:$AH$40,0)), IFERROR(INDEX('Drop Point'!$B$13:$M$36,MATCH(A$97,'Drop Point'!$B$13:$B$37,0),MATCH($Q18,'Drop Point'!$B$41:$M$41,0)),
IFERROR(INDEX('Control - Grain dscf'!$C$11:$N$27,MATCH(A$97,'Control - Grain dscf'!$B$11:$B$27,0),MATCH($Q18,'Control - Grain dscf'!$C$32:$N$32,0)),
IFERROR(INDEX('Control - Alt'!$C$9:$O$27,MATCH(A$97,'Control - Alt'!$B$9:$B$27,0),MATCH($Q18,'Control - Alt'!$C$32:$O$32,0)),
IFERROR(INDEX(Stockpile!$C$10:$M$26,MATCH(A$97,Stockpile!$B$10:$B$26,0),MATCH($Q18,Stockpile!$C$30:$M$30,0)),
IFERROR(INDEX('Asphalt Silo &amp; Unloading'!$D$10:$M$44,MATCH(A$97,'Asphalt Silo &amp; Unloading'!$B$10:$B$44,0),MATCH($Q18,'Asphalt Silo &amp; Unloading'!$D$49:$M$49,0)),""))))))</f>
        <v/>
      </c>
      <c r="B18" s="135" t="str">
        <f>IFERROR(INDEX('Material Handling'!$C$10:$AH$33,MATCH(B$97,Material_Handling[Data],0),MATCH($Q18,'Material Handling'!$C$40:$AH$40,0)), IFERROR(INDEX('Drop Point'!$B$13:$M$36,MATCH(B$97,'Drop Point'!$B$13:$B$37,0),MATCH($Q18,'Drop Point'!$B$41:$M$41,0)),
IFERROR(INDEX('Control - Grain dscf'!$C$11:$N$27,MATCH(B$97,'Control - Grain dscf'!$B$11:$B$27,0),MATCH($Q18,'Control - Grain dscf'!$C$32:$N$32,0)),
IFERROR(INDEX('Control - Alt'!$C$9:$O$27,MATCH(B$97,'Control - Alt'!$B$9:$B$27,0),MATCH($Q18,'Control - Alt'!$C$32:$O$32,0)),
IFERROR(INDEX(Stockpile!$C$10:$M$26,MATCH(B$97,Stockpile!$B$10:$B$26,0),MATCH($Q18,Stockpile!$C$30:$M$30,0)),
IFERROR(INDEX('Asphalt Silo &amp; Unloading'!$D$10:$M$44,MATCH(B$97,'Asphalt Silo &amp; Unloading'!$B$10:$B$44,0),MATCH($Q18,'Asphalt Silo &amp; Unloading'!$D$49:$M$49,0)),""))))))</f>
        <v/>
      </c>
      <c r="C18" s="135" t="str">
        <f>IFERROR(INDEX('Material Handling'!$C$10:$AH$33,MATCH(C$97,Material_Handling[Data],0),MATCH($Q18,'Material Handling'!$C$40:$AH$40,0)), IFERROR(INDEX('Drop Point'!$B$13:$M$36,MATCH(C$97,'Drop Point'!$B$13:$B$37,0),MATCH($Q18,'Drop Point'!$B$41:$M$41,0)),
IFERROR(INDEX('Control - Grain dscf'!$C$11:$N$27,MATCH(C$97,'Control - Grain dscf'!$B$11:$B$27,0),MATCH($Q18,'Control - Grain dscf'!$C$32:$N$32,0)),
IFERROR(INDEX('Control - Alt'!$C$9:$O$27,MATCH(C$97,'Control - Alt'!$B$9:$B$27,0),MATCH($Q18,'Control - Alt'!$C$32:$O$32,0)),
IFERROR(INDEX(Stockpile!$C$10:$M$26,MATCH(C$97,Stockpile!$B$10:$B$26,0),MATCH($Q18,Stockpile!$C$30:$M$30,0)),
IFERROR(INDEX('Asphalt Silo &amp; Unloading'!$D$10:$M$44,MATCH(C$97,'Asphalt Silo &amp; Unloading'!$B$10:$B$44,0),MATCH($Q18,'Asphalt Silo &amp; Unloading'!$D$49:$M$49,0)),""))))))</f>
        <v/>
      </c>
      <c r="D18" s="135" t="str">
        <f>IFERROR(INDEX('Material Handling'!$C$10:$AH$33,MATCH(D$97,Material_Handling[Data],0),MATCH($Q18,'Material Handling'!$C$40:$AH$40,0)), IFERROR(INDEX('Drop Point'!$B$13:$M$36,MATCH(D$97,'Drop Point'!$B$13:$B$37,0),MATCH($Q18,'Drop Point'!$B$41:$M$41,0)),
IFERROR(INDEX('Control - Grain dscf'!$C$11:$N$27,MATCH(D$97,'Control - Grain dscf'!$B$11:$B$27,0),MATCH($Q18,'Control - Grain dscf'!$C$32:$N$32,0)),
IFERROR(INDEX('Control - Alt'!$C$9:$O$27,MATCH(D$97,'Control - Alt'!$B$9:$B$27,0),MATCH($Q18,'Control - Alt'!$C$32:$O$32,0)),
IFERROR(INDEX(Stockpile!$C$10:$M$26,MATCH(D$97,Stockpile!$B$10:$B$26,0),MATCH($Q18,Stockpile!$C$30:$M$30,0)),
IFERROR(INDEX('Asphalt Silo &amp; Unloading'!$D$10:$M$44,MATCH(D$97,'Asphalt Silo &amp; Unloading'!$B$10:$B$44,0),MATCH($Q18,'Asphalt Silo &amp; Unloading'!$D$49:$M$49,0)),""))))))</f>
        <v/>
      </c>
      <c r="E18" s="620" t="str">
        <f>IFERROR(INDEX('Material Handling'!$C$10:$AH$33,MATCH(E$97,Material_Handling[Data],0),MATCH($Q18,'Material Handling'!$C$40:$AH$40,0)), IFERROR(INDEX('Drop Point'!$B$13:$M$36,MATCH(E$97,'Drop Point'!$B$13:$B$37,0),MATCH($Q18,'Drop Point'!$B$41:$M$41,0)),
IFERROR(INDEX('Control - Grain dscf'!$C$11:$N$27,MATCH(E$97,'Control - Grain dscf'!$B$11:$B$27,0),MATCH($Q18,'Control - Grain dscf'!$C$32:$N$32,0)),
IFERROR(INDEX('Control - Alt'!$C$9:$O$27,MATCH(E$97,'Control - Alt'!$B$9:$B$27,0),MATCH($Q18,'Control - Alt'!$C$32:$O$32,0)),
IFERROR(INDEX(Stockpile!$C$10:$M$26,MATCH(E$97,Stockpile!$B$10:$B$26,0),MATCH($Q18,Stockpile!$C$30:$M$30,0)),
IFERROR(INDEX('Asphalt Silo &amp; Unloading'!$D$10:$M$44,MATCH(E$97,'Asphalt Silo &amp; Unloading'!$B$10:$B$44,0),MATCH($Q18,'Asphalt Silo &amp; Unloading'!$D$49:$M$49,0)),""))))))</f>
        <v/>
      </c>
      <c r="F18" s="590" t="str">
        <f>IFERROR(INDEX('Material Handling'!$C$10:$AH$33,MATCH(F$97,Material_Handling[Data],0),MATCH($Q18,'Material Handling'!$C$40:$AH$40,0)), IFERROR(INDEX('Drop Point'!$B$13:$M$36,MATCH(F$97,'Drop Point'!$B$13:$B$37,0),MATCH($Q18,'Drop Point'!$B$41:$M$41,0)),
IFERROR(INDEX('Control - Grain dscf'!$C$11:$N$27,MATCH(F$97,'Control - Grain dscf'!$B$11:$B$27,0),MATCH($Q18,'Control - Grain dscf'!$C$32:$N$32,0)),
IFERROR(INDEX('Control - Alt'!$C$9:$O$27,MATCH(F$97,'Control - Alt'!$B$9:$B$27,0),MATCH($Q18,'Control - Alt'!$C$32:$O$32,0)),
IFERROR(INDEX(Stockpile!$C$10:$M$26,MATCH(F$97,Stockpile!$B$10:$B$26,0),MATCH($Q18,Stockpile!$C$30:$M$30,0)),
IFERROR(INDEX('Asphalt Silo &amp; Unloading'!$D$10:$M$44,MATCH(F$97,'Asphalt Silo &amp; Unloading'!$B$10:$B$44,0),MATCH($Q18,'Asphalt Silo &amp; Unloading'!$D$49:$M$49,0)),""))))))</f>
        <v/>
      </c>
      <c r="G18" s="590" t="str">
        <f>IFERROR(INDEX('Material Handling'!$C$10:$AH$33,MATCH(G$97,Material_Handling[Data],0),MATCH($Q18,'Material Handling'!$C$40:$AH$40,0)), IFERROR(INDEX('Drop Point'!$B$13:$M$36,MATCH(G$97,'Drop Point'!$B$13:$B$37,0),MATCH($Q18,'Drop Point'!$B$41:$M$41,0)),
IFERROR(INDEX('Control - Grain dscf'!$C$11:$N$27,MATCH(G$97,'Control - Grain dscf'!$B$11:$B$27,0),MATCH($Q18,'Control - Grain dscf'!$C$32:$N$32,0)),
IFERROR(INDEX('Control - Alt'!$C$9:$O$27,MATCH(G$97,'Control - Alt'!$B$9:$B$27,0),MATCH($Q18,'Control - Alt'!$C$32:$O$32,0)),
IFERROR(INDEX(Stockpile!$C$10:$M$26,MATCH(G$97,Stockpile!$B$10:$B$26,0),MATCH($Q18,Stockpile!$C$30:$M$30,0)),
IFERROR(INDEX('Asphalt Silo &amp; Unloading'!$D$10:$M$44,MATCH(G$97,'Asphalt Silo &amp; Unloading'!$B$10:$B$44,0),MATCH($Q18,'Asphalt Silo &amp; Unloading'!$D$49:$M$49,0)),""))))))</f>
        <v/>
      </c>
      <c r="H18" s="590" t="str">
        <f>IFERROR(INDEX('Material Handling'!$C$10:$AH$33,MATCH(H$97,Material_Handling[Data],0),MATCH($Q18,'Material Handling'!$C$40:$AH$40,0)), IFERROR(INDEX('Drop Point'!$B$13:$M$36,MATCH(H$97,'Drop Point'!$B$13:$B$37,0),MATCH($Q18,'Drop Point'!$B$41:$M$41,0)),
IFERROR(INDEX('Control - Grain dscf'!$C$11:$N$27,MATCH(H$97,'Control - Grain dscf'!$B$11:$B$27,0),MATCH($Q18,'Control - Grain dscf'!$C$32:$N$32,0)),
IFERROR(INDEX('Control - Alt'!$C$9:$O$27,MATCH(H$97,'Control - Alt'!$B$9:$B$27,0),MATCH($Q18,'Control - Alt'!$C$32:$O$32,0)),
IFERROR(INDEX(Stockpile!$C$10:$M$26,MATCH(H$97,Stockpile!$B$10:$B$26,0),MATCH($Q18,Stockpile!$C$30:$M$30,0)),
IFERROR(INDEX('Asphalt Silo &amp; Unloading'!$D$10:$M$44,MATCH(H$97,'Asphalt Silo &amp; Unloading'!$B$10:$B$44,0),MATCH($Q18,'Asphalt Silo &amp; Unloading'!$D$49:$M$49,0)),""))))))</f>
        <v/>
      </c>
      <c r="I18" s="590" t="str">
        <f>IFERROR(INDEX('Material Handling'!$C$10:$AH$33,MATCH(I$97,Material_Handling[Data],0),MATCH($Q18,'Material Handling'!$C$40:$AH$40,0)), IFERROR(INDEX('Drop Point'!$B$13:$M$36,MATCH(I$97,'Drop Point'!$B$13:$B$37,0),MATCH($Q18,'Drop Point'!$B$41:$M$41,0)),
IFERROR(INDEX('Control - Grain dscf'!$C$11:$N$27,MATCH(I$97,'Control - Grain dscf'!$B$11:$B$27,0),MATCH($Q18,'Control - Grain dscf'!$C$32:$N$32,0)),
IFERROR(INDEX('Control - Alt'!$C$9:$O$27,MATCH(I$97,'Control - Alt'!$B$9:$B$27,0),MATCH($Q18,'Control - Alt'!$C$32:$O$32,0)),
IFERROR(INDEX(Stockpile!$C$10:$M$26,MATCH(I$97,Stockpile!$B$10:$B$26,0),MATCH($Q18,Stockpile!$C$30:$M$30,0)),
IFERROR(INDEX('Asphalt Silo &amp; Unloading'!$D$10:$M$44,MATCH(I$97,'Asphalt Silo &amp; Unloading'!$B$10:$B$44,0),MATCH($Q18,'Asphalt Silo &amp; Unloading'!$D$49:$M$49,0)),""))))))</f>
        <v/>
      </c>
      <c r="J18" s="590" t="str">
        <f>IFERROR(INDEX('Material Handling'!$C$10:$AH$33,MATCH(J$97,Material_Handling[Data],0),MATCH($Q18,'Material Handling'!$C$40:$AH$40,0)), IFERROR(INDEX('Drop Point'!$B$13:$M$36,MATCH(J$97,'Drop Point'!$B$13:$B$37,0),MATCH($Q18,'Drop Point'!$B$41:$M$41,0)),
IFERROR(INDEX('Control - Grain dscf'!$C$11:$N$27,MATCH(J$97,'Control - Grain dscf'!$B$11:$B$27,0),MATCH($Q18,'Control - Grain dscf'!$C$32:$N$32,0)),
IFERROR(INDEX('Control - Alt'!$C$9:$O$27,MATCH(J$97,'Control - Alt'!$B$9:$B$27,0),MATCH($Q18,'Control - Alt'!$C$32:$O$32,0)),
IFERROR(INDEX(Stockpile!$C$10:$M$26,MATCH(J$97,Stockpile!$B$10:$B$26,0),MATCH($Q18,Stockpile!$C$30:$M$30,0)),
IFERROR(INDEX('Asphalt Silo &amp; Unloading'!$D$10:$M$44,MATCH(J$97,'Asphalt Silo &amp; Unloading'!$B$10:$B$44,0),MATCH($Q18,'Asphalt Silo &amp; Unloading'!$D$49:$M$49,0)),""))))))</f>
        <v/>
      </c>
      <c r="K18" s="590" t="str">
        <f>IFERROR(INDEX('Material Handling'!$C$10:$AH$33,MATCH(K$97,Material_Handling[Data],0),MATCH($Q18,'Material Handling'!$C$40:$AH$40,0)), IFERROR(INDEX('Drop Point'!$B$13:$M$36,MATCH(K$97,'Drop Point'!$B$13:$B$37,0),MATCH($Q18,'Drop Point'!$B$41:$M$41,0)),
IFERROR(INDEX('Control - Grain dscf'!$C$11:$N$27,MATCH(K$97,'Control - Grain dscf'!$B$11:$B$27,0),MATCH($Q18,'Control - Grain dscf'!$C$32:$N$32,0)),
IFERROR(INDEX('Control - Alt'!$C$9:$O$27,MATCH(K$97,'Control - Alt'!$B$9:$B$27,0),MATCH($Q18,'Control - Alt'!$C$32:$O$32,0)),
IFERROR(INDEX(Stockpile!$C$10:$M$26,MATCH(K$97,Stockpile!$B$10:$B$26,0),MATCH($Q18,Stockpile!$C$30:$M$30,0)),
IFERROR(INDEX('Asphalt Silo &amp; Unloading'!$D$10:$M$44,MATCH(K$97,'Asphalt Silo &amp; Unloading'!$B$10:$B$44,0),MATCH($Q18,'Asphalt Silo &amp; Unloading'!$D$49:$M$49,0)),""))))))</f>
        <v/>
      </c>
      <c r="L18" s="590" t="str">
        <f>IFERROR(INDEX('Material Handling'!$C$10:$AH$33,MATCH(L$97,Material_Handling[Data],0),MATCH($Q18,'Material Handling'!$C$40:$AH$40,0)), IFERROR(INDEX('Drop Point'!$B$13:$M$36,MATCH(L$97,'Drop Point'!$B$13:$B$37,0),MATCH($Q18,'Drop Point'!$B$41:$M$41,0)),
IFERROR(INDEX('Control - Grain dscf'!$C$11:$N$27,MATCH(L$97,'Control - Grain dscf'!$B$11:$B$27,0),MATCH($Q18,'Control - Grain dscf'!$C$32:$N$32,0)),
IFERROR(INDEX('Control - Alt'!$C$9:$O$27,MATCH(L$97,'Control - Alt'!$B$9:$B$27,0),MATCH($Q18,'Control - Alt'!$C$32:$O$32,0)),
IFERROR(INDEX(Stockpile!$C$10:$M$26,MATCH(L$97,Stockpile!$B$10:$B$26,0),MATCH($Q18,Stockpile!$C$30:$M$30,0)),
IFERROR(INDEX('Asphalt Silo &amp; Unloading'!$D$10:$M$44,MATCH(L$97,'Asphalt Silo &amp; Unloading'!$B$10:$B$44,0),MATCH($Q18,'Asphalt Silo &amp; Unloading'!$D$49:$M$49,0)),""))))))</f>
        <v/>
      </c>
      <c r="M18" s="590" t="str">
        <f>IFERROR(INDEX('Material Handling'!$C$10:$AH$33,MATCH(M$97,Material_Handling[Data],0),MATCH($Q18,'Material Handling'!$C$40:$AH$40,0)), IFERROR(INDEX('Drop Point'!$B$13:$M$36,MATCH(M$97,'Drop Point'!$B$13:$B$37,0),MATCH($Q18,'Drop Point'!$B$41:$M$41,0)),
IFERROR(INDEX('Control - Grain dscf'!$C$11:$N$27,MATCH(M$97,'Control - Grain dscf'!$B$11:$B$27,0),MATCH($Q18,'Control - Grain dscf'!$C$32:$N$32,0)),
IFERROR(INDEX('Control - Alt'!$C$9:$O$27,MATCH(M$97,'Control - Alt'!$B$9:$B$27,0),MATCH($Q18,'Control - Alt'!$C$32:$O$32,0)),
IFERROR(INDEX(Stockpile!$C$10:$M$26,MATCH(M$97,Stockpile!$B$10:$B$26,0),MATCH($Q18,Stockpile!$C$30:$M$30,0)),
IFERROR(INDEX('Asphalt Silo &amp; Unloading'!$D$10:$M$44,MATCH(M$97,'Asphalt Silo &amp; Unloading'!$B$10:$B$44,0),MATCH($Q18,'Asphalt Silo &amp; Unloading'!$D$49:$M$49,0)),""))))))</f>
        <v/>
      </c>
      <c r="N18" s="590" t="str">
        <f>IFERROR(INDEX('Material Handling'!$C$10:$AH$33,MATCH(N$97,Material_Handling[Data],0),MATCH($Q18,'Material Handling'!$C$40:$AH$40,0)), IFERROR(INDEX('Drop Point'!$B$13:$M$36,MATCH(N$97,'Drop Point'!$B$13:$B$37,0),MATCH($Q18,'Drop Point'!$B$41:$M$41,0)),
IFERROR(INDEX('Control - Grain dscf'!$C$11:$N$27,MATCH(N$97,'Control - Grain dscf'!$B$11:$B$27,0),MATCH($Q18,'Control - Grain dscf'!$C$32:$N$32,0)),
IFERROR(INDEX('Control - Alt'!$C$9:$O$27,MATCH(N$97,'Control - Alt'!$B$9:$B$27,0),MATCH($Q18,'Control - Alt'!$C$32:$O$32,0)),
IFERROR(INDEX(Stockpile!$C$10:$M$26,MATCH(N$97,Stockpile!$B$10:$B$26,0),MATCH($Q18,Stockpile!$C$30:$M$30,0)),
IFERROR(INDEX('Asphalt Silo &amp; Unloading'!$D$10:$M$44,MATCH(N$97,'Asphalt Silo &amp; Unloading'!$B$10:$B$44,0),MATCH($Q18,'Asphalt Silo &amp; Unloading'!$D$49:$M$49,0)),""))))))</f>
        <v/>
      </c>
      <c r="O18" s="591" t="str">
        <f>IFERROR(INDEX('Material Handling'!$C$10:$AH$33,MATCH(O$97,Material_Handling[Data],0),MATCH($Q18,'Material Handling'!$C$40:$AH$40,0)), IFERROR(INDEX('Drop Point'!$B$13:$M$36,MATCH(O$97,'Drop Point'!$B$13:$B$37,0),MATCH($Q18,'Drop Point'!$B$41:$M$41,0)),
IFERROR(INDEX('Control - Grain dscf'!$C$11:$N$27,MATCH(O$97,'Control - Grain dscf'!$B$11:$B$27,0),MATCH($Q18,'Control - Grain dscf'!$C$32:$N$32,0)),
IFERROR(INDEX('Control - Alt'!$C$9:$O$27,MATCH(O$97,'Control - Alt'!$B$9:$B$27,0),MATCH($Q18,'Control - Alt'!$C$32:$O$32,0)),
IFERROR(INDEX(Stockpile!$C$10:$M$26,MATCH(O$97,Stockpile!$B$10:$B$26,0),MATCH($Q18,Stockpile!$C$30:$M$30,0)),
IFERROR(INDEX('Asphalt Silo &amp; Unloading'!$D$10:$M$44,MATCH(O$97,'Asphalt Silo &amp; Unloading'!$B$10:$B$44,0),MATCH($Q18,'Asphalt Silo &amp; Unloading'!$D$49:$M$49,0)),""))))))</f>
        <v/>
      </c>
      <c r="Q18" s="131">
        <f t="shared" si="0"/>
        <v>10</v>
      </c>
    </row>
    <row r="19" spans="1:17" ht="20.100000000000001" customHeight="1">
      <c r="A19" s="293" t="str">
        <f>IFERROR(INDEX('Material Handling'!$C$10:$AH$33,MATCH(A$97,Material_Handling[Data],0),MATCH($Q19,'Material Handling'!$C$40:$AH$40,0)), IFERROR(INDEX('Drop Point'!$B$13:$M$36,MATCH(A$97,'Drop Point'!$B$13:$B$37,0),MATCH($Q19,'Drop Point'!$B$41:$M$41,0)),
IFERROR(INDEX('Control - Grain dscf'!$C$11:$N$27,MATCH(A$97,'Control - Grain dscf'!$B$11:$B$27,0),MATCH($Q19,'Control - Grain dscf'!$C$32:$N$32,0)),
IFERROR(INDEX('Control - Alt'!$C$9:$O$27,MATCH(A$97,'Control - Alt'!$B$9:$B$27,0),MATCH($Q19,'Control - Alt'!$C$32:$O$32,0)),
IFERROR(INDEX(Stockpile!$C$10:$M$26,MATCH(A$97,Stockpile!$B$10:$B$26,0),MATCH($Q19,Stockpile!$C$30:$M$30,0)),
IFERROR(INDEX('Asphalt Silo &amp; Unloading'!$D$10:$M$44,MATCH(A$97,'Asphalt Silo &amp; Unloading'!$B$10:$B$44,0),MATCH($Q19,'Asphalt Silo &amp; Unloading'!$D$49:$M$49,0)),""))))))</f>
        <v/>
      </c>
      <c r="B19" s="135" t="str">
        <f>IFERROR(INDEX('Material Handling'!$C$10:$AH$33,MATCH(B$97,Material_Handling[Data],0),MATCH($Q19,'Material Handling'!$C$40:$AH$40,0)), IFERROR(INDEX('Drop Point'!$B$13:$M$36,MATCH(B$97,'Drop Point'!$B$13:$B$37,0),MATCH($Q19,'Drop Point'!$B$41:$M$41,0)),
IFERROR(INDEX('Control - Grain dscf'!$C$11:$N$27,MATCH(B$97,'Control - Grain dscf'!$B$11:$B$27,0),MATCH($Q19,'Control - Grain dscf'!$C$32:$N$32,0)),
IFERROR(INDEX('Control - Alt'!$C$9:$O$27,MATCH(B$97,'Control - Alt'!$B$9:$B$27,0),MATCH($Q19,'Control - Alt'!$C$32:$O$32,0)),
IFERROR(INDEX(Stockpile!$C$10:$M$26,MATCH(B$97,Stockpile!$B$10:$B$26,0),MATCH($Q19,Stockpile!$C$30:$M$30,0)),
IFERROR(INDEX('Asphalt Silo &amp; Unloading'!$D$10:$M$44,MATCH(B$97,'Asphalt Silo &amp; Unloading'!$B$10:$B$44,0),MATCH($Q19,'Asphalt Silo &amp; Unloading'!$D$49:$M$49,0)),""))))))</f>
        <v/>
      </c>
      <c r="C19" s="135" t="str">
        <f>IFERROR(INDEX('Material Handling'!$C$10:$AH$33,MATCH(C$97,Material_Handling[Data],0),MATCH($Q19,'Material Handling'!$C$40:$AH$40,0)), IFERROR(INDEX('Drop Point'!$B$13:$M$36,MATCH(C$97,'Drop Point'!$B$13:$B$37,0),MATCH($Q19,'Drop Point'!$B$41:$M$41,0)),
IFERROR(INDEX('Control - Grain dscf'!$C$11:$N$27,MATCH(C$97,'Control - Grain dscf'!$B$11:$B$27,0),MATCH($Q19,'Control - Grain dscf'!$C$32:$N$32,0)),
IFERROR(INDEX('Control - Alt'!$C$9:$O$27,MATCH(C$97,'Control - Alt'!$B$9:$B$27,0),MATCH($Q19,'Control - Alt'!$C$32:$O$32,0)),
IFERROR(INDEX(Stockpile!$C$10:$M$26,MATCH(C$97,Stockpile!$B$10:$B$26,0),MATCH($Q19,Stockpile!$C$30:$M$30,0)),
IFERROR(INDEX('Asphalt Silo &amp; Unloading'!$D$10:$M$44,MATCH(C$97,'Asphalt Silo &amp; Unloading'!$B$10:$B$44,0),MATCH($Q19,'Asphalt Silo &amp; Unloading'!$D$49:$M$49,0)),""))))))</f>
        <v/>
      </c>
      <c r="D19" s="135" t="str">
        <f>IFERROR(INDEX('Material Handling'!$C$10:$AH$33,MATCH(D$97,Material_Handling[Data],0),MATCH($Q19,'Material Handling'!$C$40:$AH$40,0)), IFERROR(INDEX('Drop Point'!$B$13:$M$36,MATCH(D$97,'Drop Point'!$B$13:$B$37,0),MATCH($Q19,'Drop Point'!$B$41:$M$41,0)),
IFERROR(INDEX('Control - Grain dscf'!$C$11:$N$27,MATCH(D$97,'Control - Grain dscf'!$B$11:$B$27,0),MATCH($Q19,'Control - Grain dscf'!$C$32:$N$32,0)),
IFERROR(INDEX('Control - Alt'!$C$9:$O$27,MATCH(D$97,'Control - Alt'!$B$9:$B$27,0),MATCH($Q19,'Control - Alt'!$C$32:$O$32,0)),
IFERROR(INDEX(Stockpile!$C$10:$M$26,MATCH(D$97,Stockpile!$B$10:$B$26,0),MATCH($Q19,Stockpile!$C$30:$M$30,0)),
IFERROR(INDEX('Asphalt Silo &amp; Unloading'!$D$10:$M$44,MATCH(D$97,'Asphalt Silo &amp; Unloading'!$B$10:$B$44,0),MATCH($Q19,'Asphalt Silo &amp; Unloading'!$D$49:$M$49,0)),""))))))</f>
        <v/>
      </c>
      <c r="E19" s="620" t="str">
        <f>IFERROR(INDEX('Material Handling'!$C$10:$AH$33,MATCH(E$97,Material_Handling[Data],0),MATCH($Q19,'Material Handling'!$C$40:$AH$40,0)), IFERROR(INDEX('Drop Point'!$B$13:$M$36,MATCH(E$97,'Drop Point'!$B$13:$B$37,0),MATCH($Q19,'Drop Point'!$B$41:$M$41,0)),
IFERROR(INDEX('Control - Grain dscf'!$C$11:$N$27,MATCH(E$97,'Control - Grain dscf'!$B$11:$B$27,0),MATCH($Q19,'Control - Grain dscf'!$C$32:$N$32,0)),
IFERROR(INDEX('Control - Alt'!$C$9:$O$27,MATCH(E$97,'Control - Alt'!$B$9:$B$27,0),MATCH($Q19,'Control - Alt'!$C$32:$O$32,0)),
IFERROR(INDEX(Stockpile!$C$10:$M$26,MATCH(E$97,Stockpile!$B$10:$B$26,0),MATCH($Q19,Stockpile!$C$30:$M$30,0)),
IFERROR(INDEX('Asphalt Silo &amp; Unloading'!$D$10:$M$44,MATCH(E$97,'Asphalt Silo &amp; Unloading'!$B$10:$B$44,0),MATCH($Q19,'Asphalt Silo &amp; Unloading'!$D$49:$M$49,0)),""))))))</f>
        <v/>
      </c>
      <c r="F19" s="590" t="str">
        <f>IFERROR(INDEX('Material Handling'!$C$10:$AH$33,MATCH(F$97,Material_Handling[Data],0),MATCH($Q19,'Material Handling'!$C$40:$AH$40,0)), IFERROR(INDEX('Drop Point'!$B$13:$M$36,MATCH(F$97,'Drop Point'!$B$13:$B$37,0),MATCH($Q19,'Drop Point'!$B$41:$M$41,0)),
IFERROR(INDEX('Control - Grain dscf'!$C$11:$N$27,MATCH(F$97,'Control - Grain dscf'!$B$11:$B$27,0),MATCH($Q19,'Control - Grain dscf'!$C$32:$N$32,0)),
IFERROR(INDEX('Control - Alt'!$C$9:$O$27,MATCH(F$97,'Control - Alt'!$B$9:$B$27,0),MATCH($Q19,'Control - Alt'!$C$32:$O$32,0)),
IFERROR(INDEX(Stockpile!$C$10:$M$26,MATCH(F$97,Stockpile!$B$10:$B$26,0),MATCH($Q19,Stockpile!$C$30:$M$30,0)),
IFERROR(INDEX('Asphalt Silo &amp; Unloading'!$D$10:$M$44,MATCH(F$97,'Asphalt Silo &amp; Unloading'!$B$10:$B$44,0),MATCH($Q19,'Asphalt Silo &amp; Unloading'!$D$49:$M$49,0)),""))))))</f>
        <v/>
      </c>
      <c r="G19" s="590" t="str">
        <f>IFERROR(INDEX('Material Handling'!$C$10:$AH$33,MATCH(G$97,Material_Handling[Data],0),MATCH($Q19,'Material Handling'!$C$40:$AH$40,0)), IFERROR(INDEX('Drop Point'!$B$13:$M$36,MATCH(G$97,'Drop Point'!$B$13:$B$37,0),MATCH($Q19,'Drop Point'!$B$41:$M$41,0)),
IFERROR(INDEX('Control - Grain dscf'!$C$11:$N$27,MATCH(G$97,'Control - Grain dscf'!$B$11:$B$27,0),MATCH($Q19,'Control - Grain dscf'!$C$32:$N$32,0)),
IFERROR(INDEX('Control - Alt'!$C$9:$O$27,MATCH(G$97,'Control - Alt'!$B$9:$B$27,0),MATCH($Q19,'Control - Alt'!$C$32:$O$32,0)),
IFERROR(INDEX(Stockpile!$C$10:$M$26,MATCH(G$97,Stockpile!$B$10:$B$26,0),MATCH($Q19,Stockpile!$C$30:$M$30,0)),
IFERROR(INDEX('Asphalt Silo &amp; Unloading'!$D$10:$M$44,MATCH(G$97,'Asphalt Silo &amp; Unloading'!$B$10:$B$44,0),MATCH($Q19,'Asphalt Silo &amp; Unloading'!$D$49:$M$49,0)),""))))))</f>
        <v/>
      </c>
      <c r="H19" s="590" t="str">
        <f>IFERROR(INDEX('Material Handling'!$C$10:$AH$33,MATCH(H$97,Material_Handling[Data],0),MATCH($Q19,'Material Handling'!$C$40:$AH$40,0)), IFERROR(INDEX('Drop Point'!$B$13:$M$36,MATCH(H$97,'Drop Point'!$B$13:$B$37,0),MATCH($Q19,'Drop Point'!$B$41:$M$41,0)),
IFERROR(INDEX('Control - Grain dscf'!$C$11:$N$27,MATCH(H$97,'Control - Grain dscf'!$B$11:$B$27,0),MATCH($Q19,'Control - Grain dscf'!$C$32:$N$32,0)),
IFERROR(INDEX('Control - Alt'!$C$9:$O$27,MATCH(H$97,'Control - Alt'!$B$9:$B$27,0),MATCH($Q19,'Control - Alt'!$C$32:$O$32,0)),
IFERROR(INDEX(Stockpile!$C$10:$M$26,MATCH(H$97,Stockpile!$B$10:$B$26,0),MATCH($Q19,Stockpile!$C$30:$M$30,0)),
IFERROR(INDEX('Asphalt Silo &amp; Unloading'!$D$10:$M$44,MATCH(H$97,'Asphalt Silo &amp; Unloading'!$B$10:$B$44,0),MATCH($Q19,'Asphalt Silo &amp; Unloading'!$D$49:$M$49,0)),""))))))</f>
        <v/>
      </c>
      <c r="I19" s="590" t="str">
        <f>IFERROR(INDEX('Material Handling'!$C$10:$AH$33,MATCH(I$97,Material_Handling[Data],0),MATCH($Q19,'Material Handling'!$C$40:$AH$40,0)), IFERROR(INDEX('Drop Point'!$B$13:$M$36,MATCH(I$97,'Drop Point'!$B$13:$B$37,0),MATCH($Q19,'Drop Point'!$B$41:$M$41,0)),
IFERROR(INDEX('Control - Grain dscf'!$C$11:$N$27,MATCH(I$97,'Control - Grain dscf'!$B$11:$B$27,0),MATCH($Q19,'Control - Grain dscf'!$C$32:$N$32,0)),
IFERROR(INDEX('Control - Alt'!$C$9:$O$27,MATCH(I$97,'Control - Alt'!$B$9:$B$27,0),MATCH($Q19,'Control - Alt'!$C$32:$O$32,0)),
IFERROR(INDEX(Stockpile!$C$10:$M$26,MATCH(I$97,Stockpile!$B$10:$B$26,0),MATCH($Q19,Stockpile!$C$30:$M$30,0)),
IFERROR(INDEX('Asphalt Silo &amp; Unloading'!$D$10:$M$44,MATCH(I$97,'Asphalt Silo &amp; Unloading'!$B$10:$B$44,0),MATCH($Q19,'Asphalt Silo &amp; Unloading'!$D$49:$M$49,0)),""))))))</f>
        <v/>
      </c>
      <c r="J19" s="590" t="str">
        <f>IFERROR(INDEX('Material Handling'!$C$10:$AH$33,MATCH(J$97,Material_Handling[Data],0),MATCH($Q19,'Material Handling'!$C$40:$AH$40,0)), IFERROR(INDEX('Drop Point'!$B$13:$M$36,MATCH(J$97,'Drop Point'!$B$13:$B$37,0),MATCH($Q19,'Drop Point'!$B$41:$M$41,0)),
IFERROR(INDEX('Control - Grain dscf'!$C$11:$N$27,MATCH(J$97,'Control - Grain dscf'!$B$11:$B$27,0),MATCH($Q19,'Control - Grain dscf'!$C$32:$N$32,0)),
IFERROR(INDEX('Control - Alt'!$C$9:$O$27,MATCH(J$97,'Control - Alt'!$B$9:$B$27,0),MATCH($Q19,'Control - Alt'!$C$32:$O$32,0)),
IFERROR(INDEX(Stockpile!$C$10:$M$26,MATCH(J$97,Stockpile!$B$10:$B$26,0),MATCH($Q19,Stockpile!$C$30:$M$30,0)),
IFERROR(INDEX('Asphalt Silo &amp; Unloading'!$D$10:$M$44,MATCH(J$97,'Asphalt Silo &amp; Unloading'!$B$10:$B$44,0),MATCH($Q19,'Asphalt Silo &amp; Unloading'!$D$49:$M$49,0)),""))))))</f>
        <v/>
      </c>
      <c r="K19" s="590" t="str">
        <f>IFERROR(INDEX('Material Handling'!$C$10:$AH$33,MATCH(K$97,Material_Handling[Data],0),MATCH($Q19,'Material Handling'!$C$40:$AH$40,0)), IFERROR(INDEX('Drop Point'!$B$13:$M$36,MATCH(K$97,'Drop Point'!$B$13:$B$37,0),MATCH($Q19,'Drop Point'!$B$41:$M$41,0)),
IFERROR(INDEX('Control - Grain dscf'!$C$11:$N$27,MATCH(K$97,'Control - Grain dscf'!$B$11:$B$27,0),MATCH($Q19,'Control - Grain dscf'!$C$32:$N$32,0)),
IFERROR(INDEX('Control - Alt'!$C$9:$O$27,MATCH(K$97,'Control - Alt'!$B$9:$B$27,0),MATCH($Q19,'Control - Alt'!$C$32:$O$32,0)),
IFERROR(INDEX(Stockpile!$C$10:$M$26,MATCH(K$97,Stockpile!$B$10:$B$26,0),MATCH($Q19,Stockpile!$C$30:$M$30,0)),
IFERROR(INDEX('Asphalt Silo &amp; Unloading'!$D$10:$M$44,MATCH(K$97,'Asphalt Silo &amp; Unloading'!$B$10:$B$44,0),MATCH($Q19,'Asphalt Silo &amp; Unloading'!$D$49:$M$49,0)),""))))))</f>
        <v/>
      </c>
      <c r="L19" s="590" t="str">
        <f>IFERROR(INDEX('Material Handling'!$C$10:$AH$33,MATCH(L$97,Material_Handling[Data],0),MATCH($Q19,'Material Handling'!$C$40:$AH$40,0)), IFERROR(INDEX('Drop Point'!$B$13:$M$36,MATCH(L$97,'Drop Point'!$B$13:$B$37,0),MATCH($Q19,'Drop Point'!$B$41:$M$41,0)),
IFERROR(INDEX('Control - Grain dscf'!$C$11:$N$27,MATCH(L$97,'Control - Grain dscf'!$B$11:$B$27,0),MATCH($Q19,'Control - Grain dscf'!$C$32:$N$32,0)),
IFERROR(INDEX('Control - Alt'!$C$9:$O$27,MATCH(L$97,'Control - Alt'!$B$9:$B$27,0),MATCH($Q19,'Control - Alt'!$C$32:$O$32,0)),
IFERROR(INDEX(Stockpile!$C$10:$M$26,MATCH(L$97,Stockpile!$B$10:$B$26,0),MATCH($Q19,Stockpile!$C$30:$M$30,0)),
IFERROR(INDEX('Asphalt Silo &amp; Unloading'!$D$10:$M$44,MATCH(L$97,'Asphalt Silo &amp; Unloading'!$B$10:$B$44,0),MATCH($Q19,'Asphalt Silo &amp; Unloading'!$D$49:$M$49,0)),""))))))</f>
        <v/>
      </c>
      <c r="M19" s="590" t="str">
        <f>IFERROR(INDEX('Material Handling'!$C$10:$AH$33,MATCH(M$97,Material_Handling[Data],0),MATCH($Q19,'Material Handling'!$C$40:$AH$40,0)), IFERROR(INDEX('Drop Point'!$B$13:$M$36,MATCH(M$97,'Drop Point'!$B$13:$B$37,0),MATCH($Q19,'Drop Point'!$B$41:$M$41,0)),
IFERROR(INDEX('Control - Grain dscf'!$C$11:$N$27,MATCH(M$97,'Control - Grain dscf'!$B$11:$B$27,0),MATCH($Q19,'Control - Grain dscf'!$C$32:$N$32,0)),
IFERROR(INDEX('Control - Alt'!$C$9:$O$27,MATCH(M$97,'Control - Alt'!$B$9:$B$27,0),MATCH($Q19,'Control - Alt'!$C$32:$O$32,0)),
IFERROR(INDEX(Stockpile!$C$10:$M$26,MATCH(M$97,Stockpile!$B$10:$B$26,0),MATCH($Q19,Stockpile!$C$30:$M$30,0)),
IFERROR(INDEX('Asphalt Silo &amp; Unloading'!$D$10:$M$44,MATCH(M$97,'Asphalt Silo &amp; Unloading'!$B$10:$B$44,0),MATCH($Q19,'Asphalt Silo &amp; Unloading'!$D$49:$M$49,0)),""))))))</f>
        <v/>
      </c>
      <c r="N19" s="590" t="str">
        <f>IFERROR(INDEX('Material Handling'!$C$10:$AH$33,MATCH(N$97,Material_Handling[Data],0),MATCH($Q19,'Material Handling'!$C$40:$AH$40,0)), IFERROR(INDEX('Drop Point'!$B$13:$M$36,MATCH(N$97,'Drop Point'!$B$13:$B$37,0),MATCH($Q19,'Drop Point'!$B$41:$M$41,0)),
IFERROR(INDEX('Control - Grain dscf'!$C$11:$N$27,MATCH(N$97,'Control - Grain dscf'!$B$11:$B$27,0),MATCH($Q19,'Control - Grain dscf'!$C$32:$N$32,0)),
IFERROR(INDEX('Control - Alt'!$C$9:$O$27,MATCH(N$97,'Control - Alt'!$B$9:$B$27,0),MATCH($Q19,'Control - Alt'!$C$32:$O$32,0)),
IFERROR(INDEX(Stockpile!$C$10:$M$26,MATCH(N$97,Stockpile!$B$10:$B$26,0),MATCH($Q19,Stockpile!$C$30:$M$30,0)),
IFERROR(INDEX('Asphalt Silo &amp; Unloading'!$D$10:$M$44,MATCH(N$97,'Asphalt Silo &amp; Unloading'!$B$10:$B$44,0),MATCH($Q19,'Asphalt Silo &amp; Unloading'!$D$49:$M$49,0)),""))))))</f>
        <v/>
      </c>
      <c r="O19" s="591" t="str">
        <f>IFERROR(INDEX('Material Handling'!$C$10:$AH$33,MATCH(O$97,Material_Handling[Data],0),MATCH($Q19,'Material Handling'!$C$40:$AH$40,0)), IFERROR(INDEX('Drop Point'!$B$13:$M$36,MATCH(O$97,'Drop Point'!$B$13:$B$37,0),MATCH($Q19,'Drop Point'!$B$41:$M$41,0)),
IFERROR(INDEX('Control - Grain dscf'!$C$11:$N$27,MATCH(O$97,'Control - Grain dscf'!$B$11:$B$27,0),MATCH($Q19,'Control - Grain dscf'!$C$32:$N$32,0)),
IFERROR(INDEX('Control - Alt'!$C$9:$O$27,MATCH(O$97,'Control - Alt'!$B$9:$B$27,0),MATCH($Q19,'Control - Alt'!$C$32:$O$32,0)),
IFERROR(INDEX(Stockpile!$C$10:$M$26,MATCH(O$97,Stockpile!$B$10:$B$26,0),MATCH($Q19,Stockpile!$C$30:$M$30,0)),
IFERROR(INDEX('Asphalt Silo &amp; Unloading'!$D$10:$M$44,MATCH(O$97,'Asphalt Silo &amp; Unloading'!$B$10:$B$44,0),MATCH($Q19,'Asphalt Silo &amp; Unloading'!$D$49:$M$49,0)),""))))))</f>
        <v/>
      </c>
      <c r="Q19" s="131">
        <f t="shared" si="0"/>
        <v>11</v>
      </c>
    </row>
    <row r="20" spans="1:17" ht="20.100000000000001" customHeight="1">
      <c r="A20" s="293" t="str">
        <f>IFERROR(INDEX('Material Handling'!$C$10:$AH$33,MATCH(A$97,Material_Handling[Data],0),MATCH($Q20,'Material Handling'!$C$40:$AH$40,0)), IFERROR(INDEX('Drop Point'!$B$13:$M$36,MATCH(A$97,'Drop Point'!$B$13:$B$37,0),MATCH($Q20,'Drop Point'!$B$41:$M$41,0)),
IFERROR(INDEX('Control - Grain dscf'!$C$11:$N$27,MATCH(A$97,'Control - Grain dscf'!$B$11:$B$27,0),MATCH($Q20,'Control - Grain dscf'!$C$32:$N$32,0)),
IFERROR(INDEX('Control - Alt'!$C$9:$O$27,MATCH(A$97,'Control - Alt'!$B$9:$B$27,0),MATCH($Q20,'Control - Alt'!$C$32:$O$32,0)),
IFERROR(INDEX(Stockpile!$C$10:$M$26,MATCH(A$97,Stockpile!$B$10:$B$26,0),MATCH($Q20,Stockpile!$C$30:$M$30,0)),
IFERROR(INDEX('Asphalt Silo &amp; Unloading'!$D$10:$M$44,MATCH(A$97,'Asphalt Silo &amp; Unloading'!$B$10:$B$44,0),MATCH($Q20,'Asphalt Silo &amp; Unloading'!$D$49:$M$49,0)),""))))))</f>
        <v/>
      </c>
      <c r="B20" s="135" t="str">
        <f>IFERROR(INDEX('Material Handling'!$C$10:$AH$33,MATCH(B$97,Material_Handling[Data],0),MATCH($Q20,'Material Handling'!$C$40:$AH$40,0)), IFERROR(INDEX('Drop Point'!$B$13:$M$36,MATCH(B$97,'Drop Point'!$B$13:$B$37,0),MATCH($Q20,'Drop Point'!$B$41:$M$41,0)),
IFERROR(INDEX('Control - Grain dscf'!$C$11:$N$27,MATCH(B$97,'Control - Grain dscf'!$B$11:$B$27,0),MATCH($Q20,'Control - Grain dscf'!$C$32:$N$32,0)),
IFERROR(INDEX('Control - Alt'!$C$9:$O$27,MATCH(B$97,'Control - Alt'!$B$9:$B$27,0),MATCH($Q20,'Control - Alt'!$C$32:$O$32,0)),
IFERROR(INDEX(Stockpile!$C$10:$M$26,MATCH(B$97,Stockpile!$B$10:$B$26,0),MATCH($Q20,Stockpile!$C$30:$M$30,0)),
IFERROR(INDEX('Asphalt Silo &amp; Unloading'!$D$10:$M$44,MATCH(B$97,'Asphalt Silo &amp; Unloading'!$B$10:$B$44,0),MATCH($Q20,'Asphalt Silo &amp; Unloading'!$D$49:$M$49,0)),""))))))</f>
        <v/>
      </c>
      <c r="C20" s="135" t="str">
        <f>IFERROR(INDEX('Material Handling'!$C$10:$AH$33,MATCH(C$97,Material_Handling[Data],0),MATCH($Q20,'Material Handling'!$C$40:$AH$40,0)), IFERROR(INDEX('Drop Point'!$B$13:$M$36,MATCH(C$97,'Drop Point'!$B$13:$B$37,0),MATCH($Q20,'Drop Point'!$B$41:$M$41,0)),
IFERROR(INDEX('Control - Grain dscf'!$C$11:$N$27,MATCH(C$97,'Control - Grain dscf'!$B$11:$B$27,0),MATCH($Q20,'Control - Grain dscf'!$C$32:$N$32,0)),
IFERROR(INDEX('Control - Alt'!$C$9:$O$27,MATCH(C$97,'Control - Alt'!$B$9:$B$27,0),MATCH($Q20,'Control - Alt'!$C$32:$O$32,0)),
IFERROR(INDEX(Stockpile!$C$10:$M$26,MATCH(C$97,Stockpile!$B$10:$B$26,0),MATCH($Q20,Stockpile!$C$30:$M$30,0)),
IFERROR(INDEX('Asphalt Silo &amp; Unloading'!$D$10:$M$44,MATCH(C$97,'Asphalt Silo &amp; Unloading'!$B$10:$B$44,0),MATCH($Q20,'Asphalt Silo &amp; Unloading'!$D$49:$M$49,0)),""))))))</f>
        <v/>
      </c>
      <c r="D20" s="135" t="str">
        <f>IFERROR(INDEX('Material Handling'!$C$10:$AH$33,MATCH(D$97,Material_Handling[Data],0),MATCH($Q20,'Material Handling'!$C$40:$AH$40,0)), IFERROR(INDEX('Drop Point'!$B$13:$M$36,MATCH(D$97,'Drop Point'!$B$13:$B$37,0),MATCH($Q20,'Drop Point'!$B$41:$M$41,0)),
IFERROR(INDEX('Control - Grain dscf'!$C$11:$N$27,MATCH(D$97,'Control - Grain dscf'!$B$11:$B$27,0),MATCH($Q20,'Control - Grain dscf'!$C$32:$N$32,0)),
IFERROR(INDEX('Control - Alt'!$C$9:$O$27,MATCH(D$97,'Control - Alt'!$B$9:$B$27,0),MATCH($Q20,'Control - Alt'!$C$32:$O$32,0)),
IFERROR(INDEX(Stockpile!$C$10:$M$26,MATCH(D$97,Stockpile!$B$10:$B$26,0),MATCH($Q20,Stockpile!$C$30:$M$30,0)),
IFERROR(INDEX('Asphalt Silo &amp; Unloading'!$D$10:$M$44,MATCH(D$97,'Asphalt Silo &amp; Unloading'!$B$10:$B$44,0),MATCH($Q20,'Asphalt Silo &amp; Unloading'!$D$49:$M$49,0)),""))))))</f>
        <v/>
      </c>
      <c r="E20" s="620" t="str">
        <f>IFERROR(INDEX('Material Handling'!$C$10:$AH$33,MATCH(E$97,Material_Handling[Data],0),MATCH($Q20,'Material Handling'!$C$40:$AH$40,0)), IFERROR(INDEX('Drop Point'!$B$13:$M$36,MATCH(E$97,'Drop Point'!$B$13:$B$37,0),MATCH($Q20,'Drop Point'!$B$41:$M$41,0)),
IFERROR(INDEX('Control - Grain dscf'!$C$11:$N$27,MATCH(E$97,'Control - Grain dscf'!$B$11:$B$27,0),MATCH($Q20,'Control - Grain dscf'!$C$32:$N$32,0)),
IFERROR(INDEX('Control - Alt'!$C$9:$O$27,MATCH(E$97,'Control - Alt'!$B$9:$B$27,0),MATCH($Q20,'Control - Alt'!$C$32:$O$32,0)),
IFERROR(INDEX(Stockpile!$C$10:$M$26,MATCH(E$97,Stockpile!$B$10:$B$26,0),MATCH($Q20,Stockpile!$C$30:$M$30,0)),
IFERROR(INDEX('Asphalt Silo &amp; Unloading'!$D$10:$M$44,MATCH(E$97,'Asphalt Silo &amp; Unloading'!$B$10:$B$44,0),MATCH($Q20,'Asphalt Silo &amp; Unloading'!$D$49:$M$49,0)),""))))))</f>
        <v/>
      </c>
      <c r="F20" s="590" t="str">
        <f>IFERROR(INDEX('Material Handling'!$C$10:$AH$33,MATCH(F$97,Material_Handling[Data],0),MATCH($Q20,'Material Handling'!$C$40:$AH$40,0)), IFERROR(INDEX('Drop Point'!$B$13:$M$36,MATCH(F$97,'Drop Point'!$B$13:$B$37,0),MATCH($Q20,'Drop Point'!$B$41:$M$41,0)),
IFERROR(INDEX('Control - Grain dscf'!$C$11:$N$27,MATCH(F$97,'Control - Grain dscf'!$B$11:$B$27,0),MATCH($Q20,'Control - Grain dscf'!$C$32:$N$32,0)),
IFERROR(INDEX('Control - Alt'!$C$9:$O$27,MATCH(F$97,'Control - Alt'!$B$9:$B$27,0),MATCH($Q20,'Control - Alt'!$C$32:$O$32,0)),
IFERROR(INDEX(Stockpile!$C$10:$M$26,MATCH(F$97,Stockpile!$B$10:$B$26,0),MATCH($Q20,Stockpile!$C$30:$M$30,0)),
IFERROR(INDEX('Asphalt Silo &amp; Unloading'!$D$10:$M$44,MATCH(F$97,'Asphalt Silo &amp; Unloading'!$B$10:$B$44,0),MATCH($Q20,'Asphalt Silo &amp; Unloading'!$D$49:$M$49,0)),""))))))</f>
        <v/>
      </c>
      <c r="G20" s="590" t="str">
        <f>IFERROR(INDEX('Material Handling'!$C$10:$AH$33,MATCH(G$97,Material_Handling[Data],0),MATCH($Q20,'Material Handling'!$C$40:$AH$40,0)), IFERROR(INDEX('Drop Point'!$B$13:$M$36,MATCH(G$97,'Drop Point'!$B$13:$B$37,0),MATCH($Q20,'Drop Point'!$B$41:$M$41,0)),
IFERROR(INDEX('Control - Grain dscf'!$C$11:$N$27,MATCH(G$97,'Control - Grain dscf'!$B$11:$B$27,0),MATCH($Q20,'Control - Grain dscf'!$C$32:$N$32,0)),
IFERROR(INDEX('Control - Alt'!$C$9:$O$27,MATCH(G$97,'Control - Alt'!$B$9:$B$27,0),MATCH($Q20,'Control - Alt'!$C$32:$O$32,0)),
IFERROR(INDEX(Stockpile!$C$10:$M$26,MATCH(G$97,Stockpile!$B$10:$B$26,0),MATCH($Q20,Stockpile!$C$30:$M$30,0)),
IFERROR(INDEX('Asphalt Silo &amp; Unloading'!$D$10:$M$44,MATCH(G$97,'Asphalt Silo &amp; Unloading'!$B$10:$B$44,0),MATCH($Q20,'Asphalt Silo &amp; Unloading'!$D$49:$M$49,0)),""))))))</f>
        <v/>
      </c>
      <c r="H20" s="590" t="str">
        <f>IFERROR(INDEX('Material Handling'!$C$10:$AH$33,MATCH(H$97,Material_Handling[Data],0),MATCH($Q20,'Material Handling'!$C$40:$AH$40,0)), IFERROR(INDEX('Drop Point'!$B$13:$M$36,MATCH(H$97,'Drop Point'!$B$13:$B$37,0),MATCH($Q20,'Drop Point'!$B$41:$M$41,0)),
IFERROR(INDEX('Control - Grain dscf'!$C$11:$N$27,MATCH(H$97,'Control - Grain dscf'!$B$11:$B$27,0),MATCH($Q20,'Control - Grain dscf'!$C$32:$N$32,0)),
IFERROR(INDEX('Control - Alt'!$C$9:$O$27,MATCH(H$97,'Control - Alt'!$B$9:$B$27,0),MATCH($Q20,'Control - Alt'!$C$32:$O$32,0)),
IFERROR(INDEX(Stockpile!$C$10:$M$26,MATCH(H$97,Stockpile!$B$10:$B$26,0),MATCH($Q20,Stockpile!$C$30:$M$30,0)),
IFERROR(INDEX('Asphalt Silo &amp; Unloading'!$D$10:$M$44,MATCH(H$97,'Asphalt Silo &amp; Unloading'!$B$10:$B$44,0),MATCH($Q20,'Asphalt Silo &amp; Unloading'!$D$49:$M$49,0)),""))))))</f>
        <v/>
      </c>
      <c r="I20" s="590" t="str">
        <f>IFERROR(INDEX('Material Handling'!$C$10:$AH$33,MATCH(I$97,Material_Handling[Data],0),MATCH($Q20,'Material Handling'!$C$40:$AH$40,0)), IFERROR(INDEX('Drop Point'!$B$13:$M$36,MATCH(I$97,'Drop Point'!$B$13:$B$37,0),MATCH($Q20,'Drop Point'!$B$41:$M$41,0)),
IFERROR(INDEX('Control - Grain dscf'!$C$11:$N$27,MATCH(I$97,'Control - Grain dscf'!$B$11:$B$27,0),MATCH($Q20,'Control - Grain dscf'!$C$32:$N$32,0)),
IFERROR(INDEX('Control - Alt'!$C$9:$O$27,MATCH(I$97,'Control - Alt'!$B$9:$B$27,0),MATCH($Q20,'Control - Alt'!$C$32:$O$32,0)),
IFERROR(INDEX(Stockpile!$C$10:$M$26,MATCH(I$97,Stockpile!$B$10:$B$26,0),MATCH($Q20,Stockpile!$C$30:$M$30,0)),
IFERROR(INDEX('Asphalt Silo &amp; Unloading'!$D$10:$M$44,MATCH(I$97,'Asphalt Silo &amp; Unloading'!$B$10:$B$44,0),MATCH($Q20,'Asphalt Silo &amp; Unloading'!$D$49:$M$49,0)),""))))))</f>
        <v/>
      </c>
      <c r="J20" s="590" t="str">
        <f>IFERROR(INDEX('Material Handling'!$C$10:$AH$33,MATCH(J$97,Material_Handling[Data],0),MATCH($Q20,'Material Handling'!$C$40:$AH$40,0)), IFERROR(INDEX('Drop Point'!$B$13:$M$36,MATCH(J$97,'Drop Point'!$B$13:$B$37,0),MATCH($Q20,'Drop Point'!$B$41:$M$41,0)),
IFERROR(INDEX('Control - Grain dscf'!$C$11:$N$27,MATCH(J$97,'Control - Grain dscf'!$B$11:$B$27,0),MATCH($Q20,'Control - Grain dscf'!$C$32:$N$32,0)),
IFERROR(INDEX('Control - Alt'!$C$9:$O$27,MATCH(J$97,'Control - Alt'!$B$9:$B$27,0),MATCH($Q20,'Control - Alt'!$C$32:$O$32,0)),
IFERROR(INDEX(Stockpile!$C$10:$M$26,MATCH(J$97,Stockpile!$B$10:$B$26,0),MATCH($Q20,Stockpile!$C$30:$M$30,0)),
IFERROR(INDEX('Asphalt Silo &amp; Unloading'!$D$10:$M$44,MATCH(J$97,'Asphalt Silo &amp; Unloading'!$B$10:$B$44,0),MATCH($Q20,'Asphalt Silo &amp; Unloading'!$D$49:$M$49,0)),""))))))</f>
        <v/>
      </c>
      <c r="K20" s="590" t="str">
        <f>IFERROR(INDEX('Material Handling'!$C$10:$AH$33,MATCH(K$97,Material_Handling[Data],0),MATCH($Q20,'Material Handling'!$C$40:$AH$40,0)), IFERROR(INDEX('Drop Point'!$B$13:$M$36,MATCH(K$97,'Drop Point'!$B$13:$B$37,0),MATCH($Q20,'Drop Point'!$B$41:$M$41,0)),
IFERROR(INDEX('Control - Grain dscf'!$C$11:$N$27,MATCH(K$97,'Control - Grain dscf'!$B$11:$B$27,0),MATCH($Q20,'Control - Grain dscf'!$C$32:$N$32,0)),
IFERROR(INDEX('Control - Alt'!$C$9:$O$27,MATCH(K$97,'Control - Alt'!$B$9:$B$27,0),MATCH($Q20,'Control - Alt'!$C$32:$O$32,0)),
IFERROR(INDEX(Stockpile!$C$10:$M$26,MATCH(K$97,Stockpile!$B$10:$B$26,0),MATCH($Q20,Stockpile!$C$30:$M$30,0)),
IFERROR(INDEX('Asphalt Silo &amp; Unloading'!$D$10:$M$44,MATCH(K$97,'Asphalt Silo &amp; Unloading'!$B$10:$B$44,0),MATCH($Q20,'Asphalt Silo &amp; Unloading'!$D$49:$M$49,0)),""))))))</f>
        <v/>
      </c>
      <c r="L20" s="590" t="str">
        <f>IFERROR(INDEX('Material Handling'!$C$10:$AH$33,MATCH(L$97,Material_Handling[Data],0),MATCH($Q20,'Material Handling'!$C$40:$AH$40,0)), IFERROR(INDEX('Drop Point'!$B$13:$M$36,MATCH(L$97,'Drop Point'!$B$13:$B$37,0),MATCH($Q20,'Drop Point'!$B$41:$M$41,0)),
IFERROR(INDEX('Control - Grain dscf'!$C$11:$N$27,MATCH(L$97,'Control - Grain dscf'!$B$11:$B$27,0),MATCH($Q20,'Control - Grain dscf'!$C$32:$N$32,0)),
IFERROR(INDEX('Control - Alt'!$C$9:$O$27,MATCH(L$97,'Control - Alt'!$B$9:$B$27,0),MATCH($Q20,'Control - Alt'!$C$32:$O$32,0)),
IFERROR(INDEX(Stockpile!$C$10:$M$26,MATCH(L$97,Stockpile!$B$10:$B$26,0),MATCH($Q20,Stockpile!$C$30:$M$30,0)),
IFERROR(INDEX('Asphalt Silo &amp; Unloading'!$D$10:$M$44,MATCH(L$97,'Asphalt Silo &amp; Unloading'!$B$10:$B$44,0),MATCH($Q20,'Asphalt Silo &amp; Unloading'!$D$49:$M$49,0)),""))))))</f>
        <v/>
      </c>
      <c r="M20" s="590" t="str">
        <f>IFERROR(INDEX('Material Handling'!$C$10:$AH$33,MATCH(M$97,Material_Handling[Data],0),MATCH($Q20,'Material Handling'!$C$40:$AH$40,0)), IFERROR(INDEX('Drop Point'!$B$13:$M$36,MATCH(M$97,'Drop Point'!$B$13:$B$37,0),MATCH($Q20,'Drop Point'!$B$41:$M$41,0)),
IFERROR(INDEX('Control - Grain dscf'!$C$11:$N$27,MATCH(M$97,'Control - Grain dscf'!$B$11:$B$27,0),MATCH($Q20,'Control - Grain dscf'!$C$32:$N$32,0)),
IFERROR(INDEX('Control - Alt'!$C$9:$O$27,MATCH(M$97,'Control - Alt'!$B$9:$B$27,0),MATCH($Q20,'Control - Alt'!$C$32:$O$32,0)),
IFERROR(INDEX(Stockpile!$C$10:$M$26,MATCH(M$97,Stockpile!$B$10:$B$26,0),MATCH($Q20,Stockpile!$C$30:$M$30,0)),
IFERROR(INDEX('Asphalt Silo &amp; Unloading'!$D$10:$M$44,MATCH(M$97,'Asphalt Silo &amp; Unloading'!$B$10:$B$44,0),MATCH($Q20,'Asphalt Silo &amp; Unloading'!$D$49:$M$49,0)),""))))))</f>
        <v/>
      </c>
      <c r="N20" s="590" t="str">
        <f>IFERROR(INDEX('Material Handling'!$C$10:$AH$33,MATCH(N$97,Material_Handling[Data],0),MATCH($Q20,'Material Handling'!$C$40:$AH$40,0)), IFERROR(INDEX('Drop Point'!$B$13:$M$36,MATCH(N$97,'Drop Point'!$B$13:$B$37,0),MATCH($Q20,'Drop Point'!$B$41:$M$41,0)),
IFERROR(INDEX('Control - Grain dscf'!$C$11:$N$27,MATCH(N$97,'Control - Grain dscf'!$B$11:$B$27,0),MATCH($Q20,'Control - Grain dscf'!$C$32:$N$32,0)),
IFERROR(INDEX('Control - Alt'!$C$9:$O$27,MATCH(N$97,'Control - Alt'!$B$9:$B$27,0),MATCH($Q20,'Control - Alt'!$C$32:$O$32,0)),
IFERROR(INDEX(Stockpile!$C$10:$M$26,MATCH(N$97,Stockpile!$B$10:$B$26,0),MATCH($Q20,Stockpile!$C$30:$M$30,0)),
IFERROR(INDEX('Asphalt Silo &amp; Unloading'!$D$10:$M$44,MATCH(N$97,'Asphalt Silo &amp; Unloading'!$B$10:$B$44,0),MATCH($Q20,'Asphalt Silo &amp; Unloading'!$D$49:$M$49,0)),""))))))</f>
        <v/>
      </c>
      <c r="O20" s="591" t="str">
        <f>IFERROR(INDEX('Material Handling'!$C$10:$AH$33,MATCH(O$97,Material_Handling[Data],0),MATCH($Q20,'Material Handling'!$C$40:$AH$40,0)), IFERROR(INDEX('Drop Point'!$B$13:$M$36,MATCH(O$97,'Drop Point'!$B$13:$B$37,0),MATCH($Q20,'Drop Point'!$B$41:$M$41,0)),
IFERROR(INDEX('Control - Grain dscf'!$C$11:$N$27,MATCH(O$97,'Control - Grain dscf'!$B$11:$B$27,0),MATCH($Q20,'Control - Grain dscf'!$C$32:$N$32,0)),
IFERROR(INDEX('Control - Alt'!$C$9:$O$27,MATCH(O$97,'Control - Alt'!$B$9:$B$27,0),MATCH($Q20,'Control - Alt'!$C$32:$O$32,0)),
IFERROR(INDEX(Stockpile!$C$10:$M$26,MATCH(O$97,Stockpile!$B$10:$B$26,0),MATCH($Q20,Stockpile!$C$30:$M$30,0)),
IFERROR(INDEX('Asphalt Silo &amp; Unloading'!$D$10:$M$44,MATCH(O$97,'Asphalt Silo &amp; Unloading'!$B$10:$B$44,0),MATCH($Q20,'Asphalt Silo &amp; Unloading'!$D$49:$M$49,0)),""))))))</f>
        <v/>
      </c>
      <c r="Q20" s="131">
        <f t="shared" si="0"/>
        <v>12</v>
      </c>
    </row>
    <row r="21" spans="1:17" ht="20.100000000000001" customHeight="1">
      <c r="A21" s="293" t="str">
        <f>IFERROR(INDEX('Material Handling'!$C$10:$AH$33,MATCH(A$97,Material_Handling[Data],0),MATCH($Q21,'Material Handling'!$C$40:$AH$40,0)), IFERROR(INDEX('Drop Point'!$B$13:$M$36,MATCH(A$97,'Drop Point'!$B$13:$B$37,0),MATCH($Q21,'Drop Point'!$B$41:$M$41,0)),
IFERROR(INDEX('Control - Grain dscf'!$C$11:$N$27,MATCH(A$97,'Control - Grain dscf'!$B$11:$B$27,0),MATCH($Q21,'Control - Grain dscf'!$C$32:$N$32,0)),
IFERROR(INDEX('Control - Alt'!$C$9:$O$27,MATCH(A$97,'Control - Alt'!$B$9:$B$27,0),MATCH($Q21,'Control - Alt'!$C$32:$O$32,0)),
IFERROR(INDEX(Stockpile!$C$10:$M$26,MATCH(A$97,Stockpile!$B$10:$B$26,0),MATCH($Q21,Stockpile!$C$30:$M$30,0)),
IFERROR(INDEX('Asphalt Silo &amp; Unloading'!$D$10:$M$44,MATCH(A$97,'Asphalt Silo &amp; Unloading'!$B$10:$B$44,0),MATCH($Q21,'Asphalt Silo &amp; Unloading'!$D$49:$M$49,0)),""))))))</f>
        <v/>
      </c>
      <c r="B21" s="135" t="str">
        <f>IFERROR(INDEX('Material Handling'!$C$10:$AH$33,MATCH(B$97,Material_Handling[Data],0),MATCH($Q21,'Material Handling'!$C$40:$AH$40,0)), IFERROR(INDEX('Drop Point'!$B$13:$M$36,MATCH(B$97,'Drop Point'!$B$13:$B$37,0),MATCH($Q21,'Drop Point'!$B$41:$M$41,0)),
IFERROR(INDEX('Control - Grain dscf'!$C$11:$N$27,MATCH(B$97,'Control - Grain dscf'!$B$11:$B$27,0),MATCH($Q21,'Control - Grain dscf'!$C$32:$N$32,0)),
IFERROR(INDEX('Control - Alt'!$C$9:$O$27,MATCH(B$97,'Control - Alt'!$B$9:$B$27,0),MATCH($Q21,'Control - Alt'!$C$32:$O$32,0)),
IFERROR(INDEX(Stockpile!$C$10:$M$26,MATCH(B$97,Stockpile!$B$10:$B$26,0),MATCH($Q21,Stockpile!$C$30:$M$30,0)),
IFERROR(INDEX('Asphalt Silo &amp; Unloading'!$D$10:$M$44,MATCH(B$97,'Asphalt Silo &amp; Unloading'!$B$10:$B$44,0),MATCH($Q21,'Asphalt Silo &amp; Unloading'!$D$49:$M$49,0)),""))))))</f>
        <v/>
      </c>
      <c r="C21" s="135" t="str">
        <f>IFERROR(INDEX('Material Handling'!$C$10:$AH$33,MATCH(C$97,Material_Handling[Data],0),MATCH($Q21,'Material Handling'!$C$40:$AH$40,0)), IFERROR(INDEX('Drop Point'!$B$13:$M$36,MATCH(C$97,'Drop Point'!$B$13:$B$37,0),MATCH($Q21,'Drop Point'!$B$41:$M$41,0)),
IFERROR(INDEX('Control - Grain dscf'!$C$11:$N$27,MATCH(C$97,'Control - Grain dscf'!$B$11:$B$27,0),MATCH($Q21,'Control - Grain dscf'!$C$32:$N$32,0)),
IFERROR(INDEX('Control - Alt'!$C$9:$O$27,MATCH(C$97,'Control - Alt'!$B$9:$B$27,0),MATCH($Q21,'Control - Alt'!$C$32:$O$32,0)),
IFERROR(INDEX(Stockpile!$C$10:$M$26,MATCH(C$97,Stockpile!$B$10:$B$26,0),MATCH($Q21,Stockpile!$C$30:$M$30,0)),
IFERROR(INDEX('Asphalt Silo &amp; Unloading'!$D$10:$M$44,MATCH(C$97,'Asphalt Silo &amp; Unloading'!$B$10:$B$44,0),MATCH($Q21,'Asphalt Silo &amp; Unloading'!$D$49:$M$49,0)),""))))))</f>
        <v/>
      </c>
      <c r="D21" s="135" t="str">
        <f>IFERROR(INDEX('Material Handling'!$C$10:$AH$33,MATCH(D$97,Material_Handling[Data],0),MATCH($Q21,'Material Handling'!$C$40:$AH$40,0)), IFERROR(INDEX('Drop Point'!$B$13:$M$36,MATCH(D$97,'Drop Point'!$B$13:$B$37,0),MATCH($Q21,'Drop Point'!$B$41:$M$41,0)),
IFERROR(INDEX('Control - Grain dscf'!$C$11:$N$27,MATCH(D$97,'Control - Grain dscf'!$B$11:$B$27,0),MATCH($Q21,'Control - Grain dscf'!$C$32:$N$32,0)),
IFERROR(INDEX('Control - Alt'!$C$9:$O$27,MATCH(D$97,'Control - Alt'!$B$9:$B$27,0),MATCH($Q21,'Control - Alt'!$C$32:$O$32,0)),
IFERROR(INDEX(Stockpile!$C$10:$M$26,MATCH(D$97,Stockpile!$B$10:$B$26,0),MATCH($Q21,Stockpile!$C$30:$M$30,0)),
IFERROR(INDEX('Asphalt Silo &amp; Unloading'!$D$10:$M$44,MATCH(D$97,'Asphalt Silo &amp; Unloading'!$B$10:$B$44,0),MATCH($Q21,'Asphalt Silo &amp; Unloading'!$D$49:$M$49,0)),""))))))</f>
        <v/>
      </c>
      <c r="E21" s="620" t="str">
        <f>IFERROR(INDEX('Material Handling'!$C$10:$AH$33,MATCH(E$97,Material_Handling[Data],0),MATCH($Q21,'Material Handling'!$C$40:$AH$40,0)), IFERROR(INDEX('Drop Point'!$B$13:$M$36,MATCH(E$97,'Drop Point'!$B$13:$B$37,0),MATCH($Q21,'Drop Point'!$B$41:$M$41,0)),
IFERROR(INDEX('Control - Grain dscf'!$C$11:$N$27,MATCH(E$97,'Control - Grain dscf'!$B$11:$B$27,0),MATCH($Q21,'Control - Grain dscf'!$C$32:$N$32,0)),
IFERROR(INDEX('Control - Alt'!$C$9:$O$27,MATCH(E$97,'Control - Alt'!$B$9:$B$27,0),MATCH($Q21,'Control - Alt'!$C$32:$O$32,0)),
IFERROR(INDEX(Stockpile!$C$10:$M$26,MATCH(E$97,Stockpile!$B$10:$B$26,0),MATCH($Q21,Stockpile!$C$30:$M$30,0)),
IFERROR(INDEX('Asphalt Silo &amp; Unloading'!$D$10:$M$44,MATCH(E$97,'Asphalt Silo &amp; Unloading'!$B$10:$B$44,0),MATCH($Q21,'Asphalt Silo &amp; Unloading'!$D$49:$M$49,0)),""))))))</f>
        <v/>
      </c>
      <c r="F21" s="590" t="str">
        <f>IFERROR(INDEX('Material Handling'!$C$10:$AH$33,MATCH(F$97,Material_Handling[Data],0),MATCH($Q21,'Material Handling'!$C$40:$AH$40,0)), IFERROR(INDEX('Drop Point'!$B$13:$M$36,MATCH(F$97,'Drop Point'!$B$13:$B$37,0),MATCH($Q21,'Drop Point'!$B$41:$M$41,0)),
IFERROR(INDEX('Control - Grain dscf'!$C$11:$N$27,MATCH(F$97,'Control - Grain dscf'!$B$11:$B$27,0),MATCH($Q21,'Control - Grain dscf'!$C$32:$N$32,0)),
IFERROR(INDEX('Control - Alt'!$C$9:$O$27,MATCH(F$97,'Control - Alt'!$B$9:$B$27,0),MATCH($Q21,'Control - Alt'!$C$32:$O$32,0)),
IFERROR(INDEX(Stockpile!$C$10:$M$26,MATCH(F$97,Stockpile!$B$10:$B$26,0),MATCH($Q21,Stockpile!$C$30:$M$30,0)),
IFERROR(INDEX('Asphalt Silo &amp; Unloading'!$D$10:$M$44,MATCH(F$97,'Asphalt Silo &amp; Unloading'!$B$10:$B$44,0),MATCH($Q21,'Asphalt Silo &amp; Unloading'!$D$49:$M$49,0)),""))))))</f>
        <v/>
      </c>
      <c r="G21" s="590" t="str">
        <f>IFERROR(INDEX('Material Handling'!$C$10:$AH$33,MATCH(G$97,Material_Handling[Data],0),MATCH($Q21,'Material Handling'!$C$40:$AH$40,0)), IFERROR(INDEX('Drop Point'!$B$13:$M$36,MATCH(G$97,'Drop Point'!$B$13:$B$37,0),MATCH($Q21,'Drop Point'!$B$41:$M$41,0)),
IFERROR(INDEX('Control - Grain dscf'!$C$11:$N$27,MATCH(G$97,'Control - Grain dscf'!$B$11:$B$27,0),MATCH($Q21,'Control - Grain dscf'!$C$32:$N$32,0)),
IFERROR(INDEX('Control - Alt'!$C$9:$O$27,MATCH(G$97,'Control - Alt'!$B$9:$B$27,0),MATCH($Q21,'Control - Alt'!$C$32:$O$32,0)),
IFERROR(INDEX(Stockpile!$C$10:$M$26,MATCH(G$97,Stockpile!$B$10:$B$26,0),MATCH($Q21,Stockpile!$C$30:$M$30,0)),
IFERROR(INDEX('Asphalt Silo &amp; Unloading'!$D$10:$M$44,MATCH(G$97,'Asphalt Silo &amp; Unloading'!$B$10:$B$44,0),MATCH($Q21,'Asphalt Silo &amp; Unloading'!$D$49:$M$49,0)),""))))))</f>
        <v/>
      </c>
      <c r="H21" s="590" t="str">
        <f>IFERROR(INDEX('Material Handling'!$C$10:$AH$33,MATCH(H$97,Material_Handling[Data],0),MATCH($Q21,'Material Handling'!$C$40:$AH$40,0)), IFERROR(INDEX('Drop Point'!$B$13:$M$36,MATCH(H$97,'Drop Point'!$B$13:$B$37,0),MATCH($Q21,'Drop Point'!$B$41:$M$41,0)),
IFERROR(INDEX('Control - Grain dscf'!$C$11:$N$27,MATCH(H$97,'Control - Grain dscf'!$B$11:$B$27,0),MATCH($Q21,'Control - Grain dscf'!$C$32:$N$32,0)),
IFERROR(INDEX('Control - Alt'!$C$9:$O$27,MATCH(H$97,'Control - Alt'!$B$9:$B$27,0),MATCH($Q21,'Control - Alt'!$C$32:$O$32,0)),
IFERROR(INDEX(Stockpile!$C$10:$M$26,MATCH(H$97,Stockpile!$B$10:$B$26,0),MATCH($Q21,Stockpile!$C$30:$M$30,0)),
IFERROR(INDEX('Asphalt Silo &amp; Unloading'!$D$10:$M$44,MATCH(H$97,'Asphalt Silo &amp; Unloading'!$B$10:$B$44,0),MATCH($Q21,'Asphalt Silo &amp; Unloading'!$D$49:$M$49,0)),""))))))</f>
        <v/>
      </c>
      <c r="I21" s="590" t="str">
        <f>IFERROR(INDEX('Material Handling'!$C$10:$AH$33,MATCH(I$97,Material_Handling[Data],0),MATCH($Q21,'Material Handling'!$C$40:$AH$40,0)), IFERROR(INDEX('Drop Point'!$B$13:$M$36,MATCH(I$97,'Drop Point'!$B$13:$B$37,0),MATCH($Q21,'Drop Point'!$B$41:$M$41,0)),
IFERROR(INDEX('Control - Grain dscf'!$C$11:$N$27,MATCH(I$97,'Control - Grain dscf'!$B$11:$B$27,0),MATCH($Q21,'Control - Grain dscf'!$C$32:$N$32,0)),
IFERROR(INDEX('Control - Alt'!$C$9:$O$27,MATCH(I$97,'Control - Alt'!$B$9:$B$27,0),MATCH($Q21,'Control - Alt'!$C$32:$O$32,0)),
IFERROR(INDEX(Stockpile!$C$10:$M$26,MATCH(I$97,Stockpile!$B$10:$B$26,0),MATCH($Q21,Stockpile!$C$30:$M$30,0)),
IFERROR(INDEX('Asphalt Silo &amp; Unloading'!$D$10:$M$44,MATCH(I$97,'Asphalt Silo &amp; Unloading'!$B$10:$B$44,0),MATCH($Q21,'Asphalt Silo &amp; Unloading'!$D$49:$M$49,0)),""))))))</f>
        <v/>
      </c>
      <c r="J21" s="590" t="str">
        <f>IFERROR(INDEX('Material Handling'!$C$10:$AH$33,MATCH(J$97,Material_Handling[Data],0),MATCH($Q21,'Material Handling'!$C$40:$AH$40,0)), IFERROR(INDEX('Drop Point'!$B$13:$M$36,MATCH(J$97,'Drop Point'!$B$13:$B$37,0),MATCH($Q21,'Drop Point'!$B$41:$M$41,0)),
IFERROR(INDEX('Control - Grain dscf'!$C$11:$N$27,MATCH(J$97,'Control - Grain dscf'!$B$11:$B$27,0),MATCH($Q21,'Control - Grain dscf'!$C$32:$N$32,0)),
IFERROR(INDEX('Control - Alt'!$C$9:$O$27,MATCH(J$97,'Control - Alt'!$B$9:$B$27,0),MATCH($Q21,'Control - Alt'!$C$32:$O$32,0)),
IFERROR(INDEX(Stockpile!$C$10:$M$26,MATCH(J$97,Stockpile!$B$10:$B$26,0),MATCH($Q21,Stockpile!$C$30:$M$30,0)),
IFERROR(INDEX('Asphalt Silo &amp; Unloading'!$D$10:$M$44,MATCH(J$97,'Asphalt Silo &amp; Unloading'!$B$10:$B$44,0),MATCH($Q21,'Asphalt Silo &amp; Unloading'!$D$49:$M$49,0)),""))))))</f>
        <v/>
      </c>
      <c r="K21" s="590" t="str">
        <f>IFERROR(INDEX('Material Handling'!$C$10:$AH$33,MATCH(K$97,Material_Handling[Data],0),MATCH($Q21,'Material Handling'!$C$40:$AH$40,0)), IFERROR(INDEX('Drop Point'!$B$13:$M$36,MATCH(K$97,'Drop Point'!$B$13:$B$37,0),MATCH($Q21,'Drop Point'!$B$41:$M$41,0)),
IFERROR(INDEX('Control - Grain dscf'!$C$11:$N$27,MATCH(K$97,'Control - Grain dscf'!$B$11:$B$27,0),MATCH($Q21,'Control - Grain dscf'!$C$32:$N$32,0)),
IFERROR(INDEX('Control - Alt'!$C$9:$O$27,MATCH(K$97,'Control - Alt'!$B$9:$B$27,0),MATCH($Q21,'Control - Alt'!$C$32:$O$32,0)),
IFERROR(INDEX(Stockpile!$C$10:$M$26,MATCH(K$97,Stockpile!$B$10:$B$26,0),MATCH($Q21,Stockpile!$C$30:$M$30,0)),
IFERROR(INDEX('Asphalt Silo &amp; Unloading'!$D$10:$M$44,MATCH(K$97,'Asphalt Silo &amp; Unloading'!$B$10:$B$44,0),MATCH($Q21,'Asphalt Silo &amp; Unloading'!$D$49:$M$49,0)),""))))))</f>
        <v/>
      </c>
      <c r="L21" s="590" t="str">
        <f>IFERROR(INDEX('Material Handling'!$C$10:$AH$33,MATCH(L$97,Material_Handling[Data],0),MATCH($Q21,'Material Handling'!$C$40:$AH$40,0)), IFERROR(INDEX('Drop Point'!$B$13:$M$36,MATCH(L$97,'Drop Point'!$B$13:$B$37,0),MATCH($Q21,'Drop Point'!$B$41:$M$41,0)),
IFERROR(INDEX('Control - Grain dscf'!$C$11:$N$27,MATCH(L$97,'Control - Grain dscf'!$B$11:$B$27,0),MATCH($Q21,'Control - Grain dscf'!$C$32:$N$32,0)),
IFERROR(INDEX('Control - Alt'!$C$9:$O$27,MATCH(L$97,'Control - Alt'!$B$9:$B$27,0),MATCH($Q21,'Control - Alt'!$C$32:$O$32,0)),
IFERROR(INDEX(Stockpile!$C$10:$M$26,MATCH(L$97,Stockpile!$B$10:$B$26,0),MATCH($Q21,Stockpile!$C$30:$M$30,0)),
IFERROR(INDEX('Asphalt Silo &amp; Unloading'!$D$10:$M$44,MATCH(L$97,'Asphalt Silo &amp; Unloading'!$B$10:$B$44,0),MATCH($Q21,'Asphalt Silo &amp; Unloading'!$D$49:$M$49,0)),""))))))</f>
        <v/>
      </c>
      <c r="M21" s="590" t="str">
        <f>IFERROR(INDEX('Material Handling'!$C$10:$AH$33,MATCH(M$97,Material_Handling[Data],0),MATCH($Q21,'Material Handling'!$C$40:$AH$40,0)), IFERROR(INDEX('Drop Point'!$B$13:$M$36,MATCH(M$97,'Drop Point'!$B$13:$B$37,0),MATCH($Q21,'Drop Point'!$B$41:$M$41,0)),
IFERROR(INDEX('Control - Grain dscf'!$C$11:$N$27,MATCH(M$97,'Control - Grain dscf'!$B$11:$B$27,0),MATCH($Q21,'Control - Grain dscf'!$C$32:$N$32,0)),
IFERROR(INDEX('Control - Alt'!$C$9:$O$27,MATCH(M$97,'Control - Alt'!$B$9:$B$27,0),MATCH($Q21,'Control - Alt'!$C$32:$O$32,0)),
IFERROR(INDEX(Stockpile!$C$10:$M$26,MATCH(M$97,Stockpile!$B$10:$B$26,0),MATCH($Q21,Stockpile!$C$30:$M$30,0)),
IFERROR(INDEX('Asphalt Silo &amp; Unloading'!$D$10:$M$44,MATCH(M$97,'Asphalt Silo &amp; Unloading'!$B$10:$B$44,0),MATCH($Q21,'Asphalt Silo &amp; Unloading'!$D$49:$M$49,0)),""))))))</f>
        <v/>
      </c>
      <c r="N21" s="590" t="str">
        <f>IFERROR(INDEX('Material Handling'!$C$10:$AH$33,MATCH(N$97,Material_Handling[Data],0),MATCH($Q21,'Material Handling'!$C$40:$AH$40,0)), IFERROR(INDEX('Drop Point'!$B$13:$M$36,MATCH(N$97,'Drop Point'!$B$13:$B$37,0),MATCH($Q21,'Drop Point'!$B$41:$M$41,0)),
IFERROR(INDEX('Control - Grain dscf'!$C$11:$N$27,MATCH(N$97,'Control - Grain dscf'!$B$11:$B$27,0),MATCH($Q21,'Control - Grain dscf'!$C$32:$N$32,0)),
IFERROR(INDEX('Control - Alt'!$C$9:$O$27,MATCH(N$97,'Control - Alt'!$B$9:$B$27,0),MATCH($Q21,'Control - Alt'!$C$32:$O$32,0)),
IFERROR(INDEX(Stockpile!$C$10:$M$26,MATCH(N$97,Stockpile!$B$10:$B$26,0),MATCH($Q21,Stockpile!$C$30:$M$30,0)),
IFERROR(INDEX('Asphalt Silo &amp; Unloading'!$D$10:$M$44,MATCH(N$97,'Asphalt Silo &amp; Unloading'!$B$10:$B$44,0),MATCH($Q21,'Asphalt Silo &amp; Unloading'!$D$49:$M$49,0)),""))))))</f>
        <v/>
      </c>
      <c r="O21" s="591" t="str">
        <f>IFERROR(INDEX('Material Handling'!$C$10:$AH$33,MATCH(O$97,Material_Handling[Data],0),MATCH($Q21,'Material Handling'!$C$40:$AH$40,0)), IFERROR(INDEX('Drop Point'!$B$13:$M$36,MATCH(O$97,'Drop Point'!$B$13:$B$37,0),MATCH($Q21,'Drop Point'!$B$41:$M$41,0)),
IFERROR(INDEX('Control - Grain dscf'!$C$11:$N$27,MATCH(O$97,'Control - Grain dscf'!$B$11:$B$27,0),MATCH($Q21,'Control - Grain dscf'!$C$32:$N$32,0)),
IFERROR(INDEX('Control - Alt'!$C$9:$O$27,MATCH(O$97,'Control - Alt'!$B$9:$B$27,0),MATCH($Q21,'Control - Alt'!$C$32:$O$32,0)),
IFERROR(INDEX(Stockpile!$C$10:$M$26,MATCH(O$97,Stockpile!$B$10:$B$26,0),MATCH($Q21,Stockpile!$C$30:$M$30,0)),
IFERROR(INDEX('Asphalt Silo &amp; Unloading'!$D$10:$M$44,MATCH(O$97,'Asphalt Silo &amp; Unloading'!$B$10:$B$44,0),MATCH($Q21,'Asphalt Silo &amp; Unloading'!$D$49:$M$49,0)),""))))))</f>
        <v/>
      </c>
      <c r="Q21" s="131">
        <f t="shared" si="0"/>
        <v>13</v>
      </c>
    </row>
    <row r="22" spans="1:17" ht="20.100000000000001" customHeight="1">
      <c r="A22" s="293" t="str">
        <f>IFERROR(INDEX('Material Handling'!$C$10:$AH$33,MATCH(A$97,Material_Handling[Data],0),MATCH($Q22,'Material Handling'!$C$40:$AH$40,0)), IFERROR(INDEX('Drop Point'!$B$13:$M$36,MATCH(A$97,'Drop Point'!$B$13:$B$37,0),MATCH($Q22,'Drop Point'!$B$41:$M$41,0)),
IFERROR(INDEX('Control - Grain dscf'!$C$11:$N$27,MATCH(A$97,'Control - Grain dscf'!$B$11:$B$27,0),MATCH($Q22,'Control - Grain dscf'!$C$32:$N$32,0)),
IFERROR(INDEX('Control - Alt'!$C$9:$O$27,MATCH(A$97,'Control - Alt'!$B$9:$B$27,0),MATCH($Q22,'Control - Alt'!$C$32:$O$32,0)),
IFERROR(INDEX(Stockpile!$C$10:$M$26,MATCH(A$97,Stockpile!$B$10:$B$26,0),MATCH($Q22,Stockpile!$C$30:$M$30,0)),
IFERROR(INDEX('Asphalt Silo &amp; Unloading'!$D$10:$M$44,MATCH(A$97,'Asphalt Silo &amp; Unloading'!$B$10:$B$44,0),MATCH($Q22,'Asphalt Silo &amp; Unloading'!$D$49:$M$49,0)),""))))))</f>
        <v/>
      </c>
      <c r="B22" s="135" t="str">
        <f>IFERROR(INDEX('Material Handling'!$C$10:$AH$33,MATCH(B$97,Material_Handling[Data],0),MATCH($Q22,'Material Handling'!$C$40:$AH$40,0)), IFERROR(INDEX('Drop Point'!$B$13:$M$36,MATCH(B$97,'Drop Point'!$B$13:$B$37,0),MATCH($Q22,'Drop Point'!$B$41:$M$41,0)),
IFERROR(INDEX('Control - Grain dscf'!$C$11:$N$27,MATCH(B$97,'Control - Grain dscf'!$B$11:$B$27,0),MATCH($Q22,'Control - Grain dscf'!$C$32:$N$32,0)),
IFERROR(INDEX('Control - Alt'!$C$9:$O$27,MATCH(B$97,'Control - Alt'!$B$9:$B$27,0),MATCH($Q22,'Control - Alt'!$C$32:$O$32,0)),
IFERROR(INDEX(Stockpile!$C$10:$M$26,MATCH(B$97,Stockpile!$B$10:$B$26,0),MATCH($Q22,Stockpile!$C$30:$M$30,0)),
IFERROR(INDEX('Asphalt Silo &amp; Unloading'!$D$10:$M$44,MATCH(B$97,'Asphalt Silo &amp; Unloading'!$B$10:$B$44,0),MATCH($Q22,'Asphalt Silo &amp; Unloading'!$D$49:$M$49,0)),""))))))</f>
        <v/>
      </c>
      <c r="C22" s="135" t="str">
        <f>IFERROR(INDEX('Material Handling'!$C$10:$AH$33,MATCH(C$97,Material_Handling[Data],0),MATCH($Q22,'Material Handling'!$C$40:$AH$40,0)), IFERROR(INDEX('Drop Point'!$B$13:$M$36,MATCH(C$97,'Drop Point'!$B$13:$B$37,0),MATCH($Q22,'Drop Point'!$B$41:$M$41,0)),
IFERROR(INDEX('Control - Grain dscf'!$C$11:$N$27,MATCH(C$97,'Control - Grain dscf'!$B$11:$B$27,0),MATCH($Q22,'Control - Grain dscf'!$C$32:$N$32,0)),
IFERROR(INDEX('Control - Alt'!$C$9:$O$27,MATCH(C$97,'Control - Alt'!$B$9:$B$27,0),MATCH($Q22,'Control - Alt'!$C$32:$O$32,0)),
IFERROR(INDEX(Stockpile!$C$10:$M$26,MATCH(C$97,Stockpile!$B$10:$B$26,0),MATCH($Q22,Stockpile!$C$30:$M$30,0)),
IFERROR(INDEX('Asphalt Silo &amp; Unloading'!$D$10:$M$44,MATCH(C$97,'Asphalt Silo &amp; Unloading'!$B$10:$B$44,0),MATCH($Q22,'Asphalt Silo &amp; Unloading'!$D$49:$M$49,0)),""))))))</f>
        <v/>
      </c>
      <c r="D22" s="135" t="str">
        <f>IFERROR(INDEX('Material Handling'!$C$10:$AH$33,MATCH(D$97,Material_Handling[Data],0),MATCH($Q22,'Material Handling'!$C$40:$AH$40,0)), IFERROR(INDEX('Drop Point'!$B$13:$M$36,MATCH(D$97,'Drop Point'!$B$13:$B$37,0),MATCH($Q22,'Drop Point'!$B$41:$M$41,0)),
IFERROR(INDEX('Control - Grain dscf'!$C$11:$N$27,MATCH(D$97,'Control - Grain dscf'!$B$11:$B$27,0),MATCH($Q22,'Control - Grain dscf'!$C$32:$N$32,0)),
IFERROR(INDEX('Control - Alt'!$C$9:$O$27,MATCH(D$97,'Control - Alt'!$B$9:$B$27,0),MATCH($Q22,'Control - Alt'!$C$32:$O$32,0)),
IFERROR(INDEX(Stockpile!$C$10:$M$26,MATCH(D$97,Stockpile!$B$10:$B$26,0),MATCH($Q22,Stockpile!$C$30:$M$30,0)),
IFERROR(INDEX('Asphalt Silo &amp; Unloading'!$D$10:$M$44,MATCH(D$97,'Asphalt Silo &amp; Unloading'!$B$10:$B$44,0),MATCH($Q22,'Asphalt Silo &amp; Unloading'!$D$49:$M$49,0)),""))))))</f>
        <v/>
      </c>
      <c r="E22" s="620" t="str">
        <f>IFERROR(INDEX('Material Handling'!$C$10:$AH$33,MATCH(E$97,Material_Handling[Data],0),MATCH($Q22,'Material Handling'!$C$40:$AH$40,0)), IFERROR(INDEX('Drop Point'!$B$13:$M$36,MATCH(E$97,'Drop Point'!$B$13:$B$37,0),MATCH($Q22,'Drop Point'!$B$41:$M$41,0)),
IFERROR(INDEX('Control - Grain dscf'!$C$11:$N$27,MATCH(E$97,'Control - Grain dscf'!$B$11:$B$27,0),MATCH($Q22,'Control - Grain dscf'!$C$32:$N$32,0)),
IFERROR(INDEX('Control - Alt'!$C$9:$O$27,MATCH(E$97,'Control - Alt'!$B$9:$B$27,0),MATCH($Q22,'Control - Alt'!$C$32:$O$32,0)),
IFERROR(INDEX(Stockpile!$C$10:$M$26,MATCH(E$97,Stockpile!$B$10:$B$26,0),MATCH($Q22,Stockpile!$C$30:$M$30,0)),
IFERROR(INDEX('Asphalt Silo &amp; Unloading'!$D$10:$M$44,MATCH(E$97,'Asphalt Silo &amp; Unloading'!$B$10:$B$44,0),MATCH($Q22,'Asphalt Silo &amp; Unloading'!$D$49:$M$49,0)),""))))))</f>
        <v/>
      </c>
      <c r="F22" s="590" t="str">
        <f>IFERROR(INDEX('Material Handling'!$C$10:$AH$33,MATCH(F$97,Material_Handling[Data],0),MATCH($Q22,'Material Handling'!$C$40:$AH$40,0)), IFERROR(INDEX('Drop Point'!$B$13:$M$36,MATCH(F$97,'Drop Point'!$B$13:$B$37,0),MATCH($Q22,'Drop Point'!$B$41:$M$41,0)),
IFERROR(INDEX('Control - Grain dscf'!$C$11:$N$27,MATCH(F$97,'Control - Grain dscf'!$B$11:$B$27,0),MATCH($Q22,'Control - Grain dscf'!$C$32:$N$32,0)),
IFERROR(INDEX('Control - Alt'!$C$9:$O$27,MATCH(F$97,'Control - Alt'!$B$9:$B$27,0),MATCH($Q22,'Control - Alt'!$C$32:$O$32,0)),
IFERROR(INDEX(Stockpile!$C$10:$M$26,MATCH(F$97,Stockpile!$B$10:$B$26,0),MATCH($Q22,Stockpile!$C$30:$M$30,0)),
IFERROR(INDEX('Asphalt Silo &amp; Unloading'!$D$10:$M$44,MATCH(F$97,'Asphalt Silo &amp; Unloading'!$B$10:$B$44,0),MATCH($Q22,'Asphalt Silo &amp; Unloading'!$D$49:$M$49,0)),""))))))</f>
        <v/>
      </c>
      <c r="G22" s="590" t="str">
        <f>IFERROR(INDEX('Material Handling'!$C$10:$AH$33,MATCH(G$97,Material_Handling[Data],0),MATCH($Q22,'Material Handling'!$C$40:$AH$40,0)), IFERROR(INDEX('Drop Point'!$B$13:$M$36,MATCH(G$97,'Drop Point'!$B$13:$B$37,0),MATCH($Q22,'Drop Point'!$B$41:$M$41,0)),
IFERROR(INDEX('Control - Grain dscf'!$C$11:$N$27,MATCH(G$97,'Control - Grain dscf'!$B$11:$B$27,0),MATCH($Q22,'Control - Grain dscf'!$C$32:$N$32,0)),
IFERROR(INDEX('Control - Alt'!$C$9:$O$27,MATCH(G$97,'Control - Alt'!$B$9:$B$27,0),MATCH($Q22,'Control - Alt'!$C$32:$O$32,0)),
IFERROR(INDEX(Stockpile!$C$10:$M$26,MATCH(G$97,Stockpile!$B$10:$B$26,0),MATCH($Q22,Stockpile!$C$30:$M$30,0)),
IFERROR(INDEX('Asphalt Silo &amp; Unloading'!$D$10:$M$44,MATCH(G$97,'Asphalt Silo &amp; Unloading'!$B$10:$B$44,0),MATCH($Q22,'Asphalt Silo &amp; Unloading'!$D$49:$M$49,0)),""))))))</f>
        <v/>
      </c>
      <c r="H22" s="590" t="str">
        <f>IFERROR(INDEX('Material Handling'!$C$10:$AH$33,MATCH(H$97,Material_Handling[Data],0),MATCH($Q22,'Material Handling'!$C$40:$AH$40,0)), IFERROR(INDEX('Drop Point'!$B$13:$M$36,MATCH(H$97,'Drop Point'!$B$13:$B$37,0),MATCH($Q22,'Drop Point'!$B$41:$M$41,0)),
IFERROR(INDEX('Control - Grain dscf'!$C$11:$N$27,MATCH(H$97,'Control - Grain dscf'!$B$11:$B$27,0),MATCH($Q22,'Control - Grain dscf'!$C$32:$N$32,0)),
IFERROR(INDEX('Control - Alt'!$C$9:$O$27,MATCH(H$97,'Control - Alt'!$B$9:$B$27,0),MATCH($Q22,'Control - Alt'!$C$32:$O$32,0)),
IFERROR(INDEX(Stockpile!$C$10:$M$26,MATCH(H$97,Stockpile!$B$10:$B$26,0),MATCH($Q22,Stockpile!$C$30:$M$30,0)),
IFERROR(INDEX('Asphalt Silo &amp; Unloading'!$D$10:$M$44,MATCH(H$97,'Asphalt Silo &amp; Unloading'!$B$10:$B$44,0),MATCH($Q22,'Asphalt Silo &amp; Unloading'!$D$49:$M$49,0)),""))))))</f>
        <v/>
      </c>
      <c r="I22" s="590" t="str">
        <f>IFERROR(INDEX('Material Handling'!$C$10:$AH$33,MATCH(I$97,Material_Handling[Data],0),MATCH($Q22,'Material Handling'!$C$40:$AH$40,0)), IFERROR(INDEX('Drop Point'!$B$13:$M$36,MATCH(I$97,'Drop Point'!$B$13:$B$37,0),MATCH($Q22,'Drop Point'!$B$41:$M$41,0)),
IFERROR(INDEX('Control - Grain dscf'!$C$11:$N$27,MATCH(I$97,'Control - Grain dscf'!$B$11:$B$27,0),MATCH($Q22,'Control - Grain dscf'!$C$32:$N$32,0)),
IFERROR(INDEX('Control - Alt'!$C$9:$O$27,MATCH(I$97,'Control - Alt'!$B$9:$B$27,0),MATCH($Q22,'Control - Alt'!$C$32:$O$32,0)),
IFERROR(INDEX(Stockpile!$C$10:$M$26,MATCH(I$97,Stockpile!$B$10:$B$26,0),MATCH($Q22,Stockpile!$C$30:$M$30,0)),
IFERROR(INDEX('Asphalt Silo &amp; Unloading'!$D$10:$M$44,MATCH(I$97,'Asphalt Silo &amp; Unloading'!$B$10:$B$44,0),MATCH($Q22,'Asphalt Silo &amp; Unloading'!$D$49:$M$49,0)),""))))))</f>
        <v/>
      </c>
      <c r="J22" s="590" t="str">
        <f>IFERROR(INDEX('Material Handling'!$C$10:$AH$33,MATCH(J$97,Material_Handling[Data],0),MATCH($Q22,'Material Handling'!$C$40:$AH$40,0)), IFERROR(INDEX('Drop Point'!$B$13:$M$36,MATCH(J$97,'Drop Point'!$B$13:$B$37,0),MATCH($Q22,'Drop Point'!$B$41:$M$41,0)),
IFERROR(INDEX('Control - Grain dscf'!$C$11:$N$27,MATCH(J$97,'Control - Grain dscf'!$B$11:$B$27,0),MATCH($Q22,'Control - Grain dscf'!$C$32:$N$32,0)),
IFERROR(INDEX('Control - Alt'!$C$9:$O$27,MATCH(J$97,'Control - Alt'!$B$9:$B$27,0),MATCH($Q22,'Control - Alt'!$C$32:$O$32,0)),
IFERROR(INDEX(Stockpile!$C$10:$M$26,MATCH(J$97,Stockpile!$B$10:$B$26,0),MATCH($Q22,Stockpile!$C$30:$M$30,0)),
IFERROR(INDEX('Asphalt Silo &amp; Unloading'!$D$10:$M$44,MATCH(J$97,'Asphalt Silo &amp; Unloading'!$B$10:$B$44,0),MATCH($Q22,'Asphalt Silo &amp; Unloading'!$D$49:$M$49,0)),""))))))</f>
        <v/>
      </c>
      <c r="K22" s="590" t="str">
        <f>IFERROR(INDEX('Material Handling'!$C$10:$AH$33,MATCH(K$97,Material_Handling[Data],0),MATCH($Q22,'Material Handling'!$C$40:$AH$40,0)), IFERROR(INDEX('Drop Point'!$B$13:$M$36,MATCH(K$97,'Drop Point'!$B$13:$B$37,0),MATCH($Q22,'Drop Point'!$B$41:$M$41,0)),
IFERROR(INDEX('Control - Grain dscf'!$C$11:$N$27,MATCH(K$97,'Control - Grain dscf'!$B$11:$B$27,0),MATCH($Q22,'Control - Grain dscf'!$C$32:$N$32,0)),
IFERROR(INDEX('Control - Alt'!$C$9:$O$27,MATCH(K$97,'Control - Alt'!$B$9:$B$27,0),MATCH($Q22,'Control - Alt'!$C$32:$O$32,0)),
IFERROR(INDEX(Stockpile!$C$10:$M$26,MATCH(K$97,Stockpile!$B$10:$B$26,0),MATCH($Q22,Stockpile!$C$30:$M$30,0)),
IFERROR(INDEX('Asphalt Silo &amp; Unloading'!$D$10:$M$44,MATCH(K$97,'Asphalt Silo &amp; Unloading'!$B$10:$B$44,0),MATCH($Q22,'Asphalt Silo &amp; Unloading'!$D$49:$M$49,0)),""))))))</f>
        <v/>
      </c>
      <c r="L22" s="590" t="str">
        <f>IFERROR(INDEX('Material Handling'!$C$10:$AH$33,MATCH(L$97,Material_Handling[Data],0),MATCH($Q22,'Material Handling'!$C$40:$AH$40,0)), IFERROR(INDEX('Drop Point'!$B$13:$M$36,MATCH(L$97,'Drop Point'!$B$13:$B$37,0),MATCH($Q22,'Drop Point'!$B$41:$M$41,0)),
IFERROR(INDEX('Control - Grain dscf'!$C$11:$N$27,MATCH(L$97,'Control - Grain dscf'!$B$11:$B$27,0),MATCH($Q22,'Control - Grain dscf'!$C$32:$N$32,0)),
IFERROR(INDEX('Control - Alt'!$C$9:$O$27,MATCH(L$97,'Control - Alt'!$B$9:$B$27,0),MATCH($Q22,'Control - Alt'!$C$32:$O$32,0)),
IFERROR(INDEX(Stockpile!$C$10:$M$26,MATCH(L$97,Stockpile!$B$10:$B$26,0),MATCH($Q22,Stockpile!$C$30:$M$30,0)),
IFERROR(INDEX('Asphalt Silo &amp; Unloading'!$D$10:$M$44,MATCH(L$97,'Asphalt Silo &amp; Unloading'!$B$10:$B$44,0),MATCH($Q22,'Asphalt Silo &amp; Unloading'!$D$49:$M$49,0)),""))))))</f>
        <v/>
      </c>
      <c r="M22" s="590" t="str">
        <f>IFERROR(INDEX('Material Handling'!$C$10:$AH$33,MATCH(M$97,Material_Handling[Data],0),MATCH($Q22,'Material Handling'!$C$40:$AH$40,0)), IFERROR(INDEX('Drop Point'!$B$13:$M$36,MATCH(M$97,'Drop Point'!$B$13:$B$37,0),MATCH($Q22,'Drop Point'!$B$41:$M$41,0)),
IFERROR(INDEX('Control - Grain dscf'!$C$11:$N$27,MATCH(M$97,'Control - Grain dscf'!$B$11:$B$27,0),MATCH($Q22,'Control - Grain dscf'!$C$32:$N$32,0)),
IFERROR(INDEX('Control - Alt'!$C$9:$O$27,MATCH(M$97,'Control - Alt'!$B$9:$B$27,0),MATCH($Q22,'Control - Alt'!$C$32:$O$32,0)),
IFERROR(INDEX(Stockpile!$C$10:$M$26,MATCH(M$97,Stockpile!$B$10:$B$26,0),MATCH($Q22,Stockpile!$C$30:$M$30,0)),
IFERROR(INDEX('Asphalt Silo &amp; Unloading'!$D$10:$M$44,MATCH(M$97,'Asphalt Silo &amp; Unloading'!$B$10:$B$44,0),MATCH($Q22,'Asphalt Silo &amp; Unloading'!$D$49:$M$49,0)),""))))))</f>
        <v/>
      </c>
      <c r="N22" s="590" t="str">
        <f>IFERROR(INDEX('Material Handling'!$C$10:$AH$33,MATCH(N$97,Material_Handling[Data],0),MATCH($Q22,'Material Handling'!$C$40:$AH$40,0)), IFERROR(INDEX('Drop Point'!$B$13:$M$36,MATCH(N$97,'Drop Point'!$B$13:$B$37,0),MATCH($Q22,'Drop Point'!$B$41:$M$41,0)),
IFERROR(INDEX('Control - Grain dscf'!$C$11:$N$27,MATCH(N$97,'Control - Grain dscf'!$B$11:$B$27,0),MATCH($Q22,'Control - Grain dscf'!$C$32:$N$32,0)),
IFERROR(INDEX('Control - Alt'!$C$9:$O$27,MATCH(N$97,'Control - Alt'!$B$9:$B$27,0),MATCH($Q22,'Control - Alt'!$C$32:$O$32,0)),
IFERROR(INDEX(Stockpile!$C$10:$M$26,MATCH(N$97,Stockpile!$B$10:$B$26,0),MATCH($Q22,Stockpile!$C$30:$M$30,0)),
IFERROR(INDEX('Asphalt Silo &amp; Unloading'!$D$10:$M$44,MATCH(N$97,'Asphalt Silo &amp; Unloading'!$B$10:$B$44,0),MATCH($Q22,'Asphalt Silo &amp; Unloading'!$D$49:$M$49,0)),""))))))</f>
        <v/>
      </c>
      <c r="O22" s="591" t="str">
        <f>IFERROR(INDEX('Material Handling'!$C$10:$AH$33,MATCH(O$97,Material_Handling[Data],0),MATCH($Q22,'Material Handling'!$C$40:$AH$40,0)), IFERROR(INDEX('Drop Point'!$B$13:$M$36,MATCH(O$97,'Drop Point'!$B$13:$B$37,0),MATCH($Q22,'Drop Point'!$B$41:$M$41,0)),
IFERROR(INDEX('Control - Grain dscf'!$C$11:$N$27,MATCH(O$97,'Control - Grain dscf'!$B$11:$B$27,0),MATCH($Q22,'Control - Grain dscf'!$C$32:$N$32,0)),
IFERROR(INDEX('Control - Alt'!$C$9:$O$27,MATCH(O$97,'Control - Alt'!$B$9:$B$27,0),MATCH($Q22,'Control - Alt'!$C$32:$O$32,0)),
IFERROR(INDEX(Stockpile!$C$10:$M$26,MATCH(O$97,Stockpile!$B$10:$B$26,0),MATCH($Q22,Stockpile!$C$30:$M$30,0)),
IFERROR(INDEX('Asphalt Silo &amp; Unloading'!$D$10:$M$44,MATCH(O$97,'Asphalt Silo &amp; Unloading'!$B$10:$B$44,0),MATCH($Q22,'Asphalt Silo &amp; Unloading'!$D$49:$M$49,0)),""))))))</f>
        <v/>
      </c>
      <c r="Q22" s="131">
        <f t="shared" si="0"/>
        <v>14</v>
      </c>
    </row>
    <row r="23" spans="1:17" ht="20.100000000000001" customHeight="1">
      <c r="A23" s="293" t="str">
        <f>IFERROR(INDEX('Material Handling'!$C$10:$AH$33,MATCH(A$97,Material_Handling[Data],0),MATCH($Q23,'Material Handling'!$C$40:$AH$40,0)), IFERROR(INDEX('Drop Point'!$B$13:$M$36,MATCH(A$97,'Drop Point'!$B$13:$B$37,0),MATCH($Q23,'Drop Point'!$B$41:$M$41,0)),
IFERROR(INDEX('Control - Grain dscf'!$C$11:$N$27,MATCH(A$97,'Control - Grain dscf'!$B$11:$B$27,0),MATCH($Q23,'Control - Grain dscf'!$C$32:$N$32,0)),
IFERROR(INDEX('Control - Alt'!$C$9:$O$27,MATCH(A$97,'Control - Alt'!$B$9:$B$27,0),MATCH($Q23,'Control - Alt'!$C$32:$O$32,0)),
IFERROR(INDEX(Stockpile!$C$10:$M$26,MATCH(A$97,Stockpile!$B$10:$B$26,0),MATCH($Q23,Stockpile!$C$30:$M$30,0)),
IFERROR(INDEX('Asphalt Silo &amp; Unloading'!$D$10:$M$44,MATCH(A$97,'Asphalt Silo &amp; Unloading'!$B$10:$B$44,0),MATCH($Q23,'Asphalt Silo &amp; Unloading'!$D$49:$M$49,0)),""))))))</f>
        <v/>
      </c>
      <c r="B23" s="135" t="str">
        <f>IFERROR(INDEX('Material Handling'!$C$10:$AH$33,MATCH(B$97,Material_Handling[Data],0),MATCH($Q23,'Material Handling'!$C$40:$AH$40,0)), IFERROR(INDEX('Drop Point'!$B$13:$M$36,MATCH(B$97,'Drop Point'!$B$13:$B$37,0),MATCH($Q23,'Drop Point'!$B$41:$M$41,0)),
IFERROR(INDEX('Control - Grain dscf'!$C$11:$N$27,MATCH(B$97,'Control - Grain dscf'!$B$11:$B$27,0),MATCH($Q23,'Control - Grain dscf'!$C$32:$N$32,0)),
IFERROR(INDEX('Control - Alt'!$C$9:$O$27,MATCH(B$97,'Control - Alt'!$B$9:$B$27,0),MATCH($Q23,'Control - Alt'!$C$32:$O$32,0)),
IFERROR(INDEX(Stockpile!$C$10:$M$26,MATCH(B$97,Stockpile!$B$10:$B$26,0),MATCH($Q23,Stockpile!$C$30:$M$30,0)),
IFERROR(INDEX('Asphalt Silo &amp; Unloading'!$D$10:$M$44,MATCH(B$97,'Asphalt Silo &amp; Unloading'!$B$10:$B$44,0),MATCH($Q23,'Asphalt Silo &amp; Unloading'!$D$49:$M$49,0)),""))))))</f>
        <v/>
      </c>
      <c r="C23" s="135" t="str">
        <f>IFERROR(INDEX('Material Handling'!$C$10:$AH$33,MATCH(C$97,Material_Handling[Data],0),MATCH($Q23,'Material Handling'!$C$40:$AH$40,0)), IFERROR(INDEX('Drop Point'!$B$13:$M$36,MATCH(C$97,'Drop Point'!$B$13:$B$37,0),MATCH($Q23,'Drop Point'!$B$41:$M$41,0)),
IFERROR(INDEX('Control - Grain dscf'!$C$11:$N$27,MATCH(C$97,'Control - Grain dscf'!$B$11:$B$27,0),MATCH($Q23,'Control - Grain dscf'!$C$32:$N$32,0)),
IFERROR(INDEX('Control - Alt'!$C$9:$O$27,MATCH(C$97,'Control - Alt'!$B$9:$B$27,0),MATCH($Q23,'Control - Alt'!$C$32:$O$32,0)),
IFERROR(INDEX(Stockpile!$C$10:$M$26,MATCH(C$97,Stockpile!$B$10:$B$26,0),MATCH($Q23,Stockpile!$C$30:$M$30,0)),
IFERROR(INDEX('Asphalt Silo &amp; Unloading'!$D$10:$M$44,MATCH(C$97,'Asphalt Silo &amp; Unloading'!$B$10:$B$44,0),MATCH($Q23,'Asphalt Silo &amp; Unloading'!$D$49:$M$49,0)),""))))))</f>
        <v/>
      </c>
      <c r="D23" s="135" t="str">
        <f>IFERROR(INDEX('Material Handling'!$C$10:$AH$33,MATCH(D$97,Material_Handling[Data],0),MATCH($Q23,'Material Handling'!$C$40:$AH$40,0)), IFERROR(INDEX('Drop Point'!$B$13:$M$36,MATCH(D$97,'Drop Point'!$B$13:$B$37,0),MATCH($Q23,'Drop Point'!$B$41:$M$41,0)),
IFERROR(INDEX('Control - Grain dscf'!$C$11:$N$27,MATCH(D$97,'Control - Grain dscf'!$B$11:$B$27,0),MATCH($Q23,'Control - Grain dscf'!$C$32:$N$32,0)),
IFERROR(INDEX('Control - Alt'!$C$9:$O$27,MATCH(D$97,'Control - Alt'!$B$9:$B$27,0),MATCH($Q23,'Control - Alt'!$C$32:$O$32,0)),
IFERROR(INDEX(Stockpile!$C$10:$M$26,MATCH(D$97,Stockpile!$B$10:$B$26,0),MATCH($Q23,Stockpile!$C$30:$M$30,0)),
IFERROR(INDEX('Asphalt Silo &amp; Unloading'!$D$10:$M$44,MATCH(D$97,'Asphalt Silo &amp; Unloading'!$B$10:$B$44,0),MATCH($Q23,'Asphalt Silo &amp; Unloading'!$D$49:$M$49,0)),""))))))</f>
        <v/>
      </c>
      <c r="E23" s="620" t="str">
        <f>IFERROR(INDEX('Material Handling'!$C$10:$AH$33,MATCH(E$97,Material_Handling[Data],0),MATCH($Q23,'Material Handling'!$C$40:$AH$40,0)), IFERROR(INDEX('Drop Point'!$B$13:$M$36,MATCH(E$97,'Drop Point'!$B$13:$B$37,0),MATCH($Q23,'Drop Point'!$B$41:$M$41,0)),
IFERROR(INDEX('Control - Grain dscf'!$C$11:$N$27,MATCH(E$97,'Control - Grain dscf'!$B$11:$B$27,0),MATCH($Q23,'Control - Grain dscf'!$C$32:$N$32,0)),
IFERROR(INDEX('Control - Alt'!$C$9:$O$27,MATCH(E$97,'Control - Alt'!$B$9:$B$27,0),MATCH($Q23,'Control - Alt'!$C$32:$O$32,0)),
IFERROR(INDEX(Stockpile!$C$10:$M$26,MATCH(E$97,Stockpile!$B$10:$B$26,0),MATCH($Q23,Stockpile!$C$30:$M$30,0)),
IFERROR(INDEX('Asphalt Silo &amp; Unloading'!$D$10:$M$44,MATCH(E$97,'Asphalt Silo &amp; Unloading'!$B$10:$B$44,0),MATCH($Q23,'Asphalt Silo &amp; Unloading'!$D$49:$M$49,0)),""))))))</f>
        <v/>
      </c>
      <c r="F23" s="590" t="str">
        <f>IFERROR(INDEX('Material Handling'!$C$10:$AH$33,MATCH(F$97,Material_Handling[Data],0),MATCH($Q23,'Material Handling'!$C$40:$AH$40,0)), IFERROR(INDEX('Drop Point'!$B$13:$M$36,MATCH(F$97,'Drop Point'!$B$13:$B$37,0),MATCH($Q23,'Drop Point'!$B$41:$M$41,0)),
IFERROR(INDEX('Control - Grain dscf'!$C$11:$N$27,MATCH(F$97,'Control - Grain dscf'!$B$11:$B$27,0),MATCH($Q23,'Control - Grain dscf'!$C$32:$N$32,0)),
IFERROR(INDEX('Control - Alt'!$C$9:$O$27,MATCH(F$97,'Control - Alt'!$B$9:$B$27,0),MATCH($Q23,'Control - Alt'!$C$32:$O$32,0)),
IFERROR(INDEX(Stockpile!$C$10:$M$26,MATCH(F$97,Stockpile!$B$10:$B$26,0),MATCH($Q23,Stockpile!$C$30:$M$30,0)),
IFERROR(INDEX('Asphalt Silo &amp; Unloading'!$D$10:$M$44,MATCH(F$97,'Asphalt Silo &amp; Unloading'!$B$10:$B$44,0),MATCH($Q23,'Asphalt Silo &amp; Unloading'!$D$49:$M$49,0)),""))))))</f>
        <v/>
      </c>
      <c r="G23" s="590" t="str">
        <f>IFERROR(INDEX('Material Handling'!$C$10:$AH$33,MATCH(G$97,Material_Handling[Data],0),MATCH($Q23,'Material Handling'!$C$40:$AH$40,0)), IFERROR(INDEX('Drop Point'!$B$13:$M$36,MATCH(G$97,'Drop Point'!$B$13:$B$37,0),MATCH($Q23,'Drop Point'!$B$41:$M$41,0)),
IFERROR(INDEX('Control - Grain dscf'!$C$11:$N$27,MATCH(G$97,'Control - Grain dscf'!$B$11:$B$27,0),MATCH($Q23,'Control - Grain dscf'!$C$32:$N$32,0)),
IFERROR(INDEX('Control - Alt'!$C$9:$O$27,MATCH(G$97,'Control - Alt'!$B$9:$B$27,0),MATCH($Q23,'Control - Alt'!$C$32:$O$32,0)),
IFERROR(INDEX(Stockpile!$C$10:$M$26,MATCH(G$97,Stockpile!$B$10:$B$26,0),MATCH($Q23,Stockpile!$C$30:$M$30,0)),
IFERROR(INDEX('Asphalt Silo &amp; Unloading'!$D$10:$M$44,MATCH(G$97,'Asphalt Silo &amp; Unloading'!$B$10:$B$44,0),MATCH($Q23,'Asphalt Silo &amp; Unloading'!$D$49:$M$49,0)),""))))))</f>
        <v/>
      </c>
      <c r="H23" s="590" t="str">
        <f>IFERROR(INDEX('Material Handling'!$C$10:$AH$33,MATCH(H$97,Material_Handling[Data],0),MATCH($Q23,'Material Handling'!$C$40:$AH$40,0)), IFERROR(INDEX('Drop Point'!$B$13:$M$36,MATCH(H$97,'Drop Point'!$B$13:$B$37,0),MATCH($Q23,'Drop Point'!$B$41:$M$41,0)),
IFERROR(INDEX('Control - Grain dscf'!$C$11:$N$27,MATCH(H$97,'Control - Grain dscf'!$B$11:$B$27,0),MATCH($Q23,'Control - Grain dscf'!$C$32:$N$32,0)),
IFERROR(INDEX('Control - Alt'!$C$9:$O$27,MATCH(H$97,'Control - Alt'!$B$9:$B$27,0),MATCH($Q23,'Control - Alt'!$C$32:$O$32,0)),
IFERROR(INDEX(Stockpile!$C$10:$M$26,MATCH(H$97,Stockpile!$B$10:$B$26,0),MATCH($Q23,Stockpile!$C$30:$M$30,0)),
IFERROR(INDEX('Asphalt Silo &amp; Unloading'!$D$10:$M$44,MATCH(H$97,'Asphalt Silo &amp; Unloading'!$B$10:$B$44,0),MATCH($Q23,'Asphalt Silo &amp; Unloading'!$D$49:$M$49,0)),""))))))</f>
        <v/>
      </c>
      <c r="I23" s="590" t="str">
        <f>IFERROR(INDEX('Material Handling'!$C$10:$AH$33,MATCH(I$97,Material_Handling[Data],0),MATCH($Q23,'Material Handling'!$C$40:$AH$40,0)), IFERROR(INDEX('Drop Point'!$B$13:$M$36,MATCH(I$97,'Drop Point'!$B$13:$B$37,0),MATCH($Q23,'Drop Point'!$B$41:$M$41,0)),
IFERROR(INDEX('Control - Grain dscf'!$C$11:$N$27,MATCH(I$97,'Control - Grain dscf'!$B$11:$B$27,0),MATCH($Q23,'Control - Grain dscf'!$C$32:$N$32,0)),
IFERROR(INDEX('Control - Alt'!$C$9:$O$27,MATCH(I$97,'Control - Alt'!$B$9:$B$27,0),MATCH($Q23,'Control - Alt'!$C$32:$O$32,0)),
IFERROR(INDEX(Stockpile!$C$10:$M$26,MATCH(I$97,Stockpile!$B$10:$B$26,0),MATCH($Q23,Stockpile!$C$30:$M$30,0)),
IFERROR(INDEX('Asphalt Silo &amp; Unloading'!$D$10:$M$44,MATCH(I$97,'Asphalt Silo &amp; Unloading'!$B$10:$B$44,0),MATCH($Q23,'Asphalt Silo &amp; Unloading'!$D$49:$M$49,0)),""))))))</f>
        <v/>
      </c>
      <c r="J23" s="590" t="str">
        <f>IFERROR(INDEX('Material Handling'!$C$10:$AH$33,MATCH(J$97,Material_Handling[Data],0),MATCH($Q23,'Material Handling'!$C$40:$AH$40,0)), IFERROR(INDEX('Drop Point'!$B$13:$M$36,MATCH(J$97,'Drop Point'!$B$13:$B$37,0),MATCH($Q23,'Drop Point'!$B$41:$M$41,0)),
IFERROR(INDEX('Control - Grain dscf'!$C$11:$N$27,MATCH(J$97,'Control - Grain dscf'!$B$11:$B$27,0),MATCH($Q23,'Control - Grain dscf'!$C$32:$N$32,0)),
IFERROR(INDEX('Control - Alt'!$C$9:$O$27,MATCH(J$97,'Control - Alt'!$B$9:$B$27,0),MATCH($Q23,'Control - Alt'!$C$32:$O$32,0)),
IFERROR(INDEX(Stockpile!$C$10:$M$26,MATCH(J$97,Stockpile!$B$10:$B$26,0),MATCH($Q23,Stockpile!$C$30:$M$30,0)),
IFERROR(INDEX('Asphalt Silo &amp; Unloading'!$D$10:$M$44,MATCH(J$97,'Asphalt Silo &amp; Unloading'!$B$10:$B$44,0),MATCH($Q23,'Asphalt Silo &amp; Unloading'!$D$49:$M$49,0)),""))))))</f>
        <v/>
      </c>
      <c r="K23" s="590" t="str">
        <f>IFERROR(INDEX('Material Handling'!$C$10:$AH$33,MATCH(K$97,Material_Handling[Data],0),MATCH($Q23,'Material Handling'!$C$40:$AH$40,0)), IFERROR(INDEX('Drop Point'!$B$13:$M$36,MATCH(K$97,'Drop Point'!$B$13:$B$37,0),MATCH($Q23,'Drop Point'!$B$41:$M$41,0)),
IFERROR(INDEX('Control - Grain dscf'!$C$11:$N$27,MATCH(K$97,'Control - Grain dscf'!$B$11:$B$27,0),MATCH($Q23,'Control - Grain dscf'!$C$32:$N$32,0)),
IFERROR(INDEX('Control - Alt'!$C$9:$O$27,MATCH(K$97,'Control - Alt'!$B$9:$B$27,0),MATCH($Q23,'Control - Alt'!$C$32:$O$32,0)),
IFERROR(INDEX(Stockpile!$C$10:$M$26,MATCH(K$97,Stockpile!$B$10:$B$26,0),MATCH($Q23,Stockpile!$C$30:$M$30,0)),
IFERROR(INDEX('Asphalt Silo &amp; Unloading'!$D$10:$M$44,MATCH(K$97,'Asphalt Silo &amp; Unloading'!$B$10:$B$44,0),MATCH($Q23,'Asphalt Silo &amp; Unloading'!$D$49:$M$49,0)),""))))))</f>
        <v/>
      </c>
      <c r="L23" s="590" t="str">
        <f>IFERROR(INDEX('Material Handling'!$C$10:$AH$33,MATCH(L$97,Material_Handling[Data],0),MATCH($Q23,'Material Handling'!$C$40:$AH$40,0)), IFERROR(INDEX('Drop Point'!$B$13:$M$36,MATCH(L$97,'Drop Point'!$B$13:$B$37,0),MATCH($Q23,'Drop Point'!$B$41:$M$41,0)),
IFERROR(INDEX('Control - Grain dscf'!$C$11:$N$27,MATCH(L$97,'Control - Grain dscf'!$B$11:$B$27,0),MATCH($Q23,'Control - Grain dscf'!$C$32:$N$32,0)),
IFERROR(INDEX('Control - Alt'!$C$9:$O$27,MATCH(L$97,'Control - Alt'!$B$9:$B$27,0),MATCH($Q23,'Control - Alt'!$C$32:$O$32,0)),
IFERROR(INDEX(Stockpile!$C$10:$M$26,MATCH(L$97,Stockpile!$B$10:$B$26,0),MATCH($Q23,Stockpile!$C$30:$M$30,0)),
IFERROR(INDEX('Asphalt Silo &amp; Unloading'!$D$10:$M$44,MATCH(L$97,'Asphalt Silo &amp; Unloading'!$B$10:$B$44,0),MATCH($Q23,'Asphalt Silo &amp; Unloading'!$D$49:$M$49,0)),""))))))</f>
        <v/>
      </c>
      <c r="M23" s="590" t="str">
        <f>IFERROR(INDEX('Material Handling'!$C$10:$AH$33,MATCH(M$97,Material_Handling[Data],0),MATCH($Q23,'Material Handling'!$C$40:$AH$40,0)), IFERROR(INDEX('Drop Point'!$B$13:$M$36,MATCH(M$97,'Drop Point'!$B$13:$B$37,0),MATCH($Q23,'Drop Point'!$B$41:$M$41,0)),
IFERROR(INDEX('Control - Grain dscf'!$C$11:$N$27,MATCH(M$97,'Control - Grain dscf'!$B$11:$B$27,0),MATCH($Q23,'Control - Grain dscf'!$C$32:$N$32,0)),
IFERROR(INDEX('Control - Alt'!$C$9:$O$27,MATCH(M$97,'Control - Alt'!$B$9:$B$27,0),MATCH($Q23,'Control - Alt'!$C$32:$O$32,0)),
IFERROR(INDEX(Stockpile!$C$10:$M$26,MATCH(M$97,Stockpile!$B$10:$B$26,0),MATCH($Q23,Stockpile!$C$30:$M$30,0)),
IFERROR(INDEX('Asphalt Silo &amp; Unloading'!$D$10:$M$44,MATCH(M$97,'Asphalt Silo &amp; Unloading'!$B$10:$B$44,0),MATCH($Q23,'Asphalt Silo &amp; Unloading'!$D$49:$M$49,0)),""))))))</f>
        <v/>
      </c>
      <c r="N23" s="590" t="str">
        <f>IFERROR(INDEX('Material Handling'!$C$10:$AH$33,MATCH(N$97,Material_Handling[Data],0),MATCH($Q23,'Material Handling'!$C$40:$AH$40,0)), IFERROR(INDEX('Drop Point'!$B$13:$M$36,MATCH(N$97,'Drop Point'!$B$13:$B$37,0),MATCH($Q23,'Drop Point'!$B$41:$M$41,0)),
IFERROR(INDEX('Control - Grain dscf'!$C$11:$N$27,MATCH(N$97,'Control - Grain dscf'!$B$11:$B$27,0),MATCH($Q23,'Control - Grain dscf'!$C$32:$N$32,0)),
IFERROR(INDEX('Control - Alt'!$C$9:$O$27,MATCH(N$97,'Control - Alt'!$B$9:$B$27,0),MATCH($Q23,'Control - Alt'!$C$32:$O$32,0)),
IFERROR(INDEX(Stockpile!$C$10:$M$26,MATCH(N$97,Stockpile!$B$10:$B$26,0),MATCH($Q23,Stockpile!$C$30:$M$30,0)),
IFERROR(INDEX('Asphalt Silo &amp; Unloading'!$D$10:$M$44,MATCH(N$97,'Asphalt Silo &amp; Unloading'!$B$10:$B$44,0),MATCH($Q23,'Asphalt Silo &amp; Unloading'!$D$49:$M$49,0)),""))))))</f>
        <v/>
      </c>
      <c r="O23" s="591" t="str">
        <f>IFERROR(INDEX('Material Handling'!$C$10:$AH$33,MATCH(O$97,Material_Handling[Data],0),MATCH($Q23,'Material Handling'!$C$40:$AH$40,0)), IFERROR(INDEX('Drop Point'!$B$13:$M$36,MATCH(O$97,'Drop Point'!$B$13:$B$37,0),MATCH($Q23,'Drop Point'!$B$41:$M$41,0)),
IFERROR(INDEX('Control - Grain dscf'!$C$11:$N$27,MATCH(O$97,'Control - Grain dscf'!$B$11:$B$27,0),MATCH($Q23,'Control - Grain dscf'!$C$32:$N$32,0)),
IFERROR(INDEX('Control - Alt'!$C$9:$O$27,MATCH(O$97,'Control - Alt'!$B$9:$B$27,0),MATCH($Q23,'Control - Alt'!$C$32:$O$32,0)),
IFERROR(INDEX(Stockpile!$C$10:$M$26,MATCH(O$97,Stockpile!$B$10:$B$26,0),MATCH($Q23,Stockpile!$C$30:$M$30,0)),
IFERROR(INDEX('Asphalt Silo &amp; Unloading'!$D$10:$M$44,MATCH(O$97,'Asphalt Silo &amp; Unloading'!$B$10:$B$44,0),MATCH($Q23,'Asphalt Silo &amp; Unloading'!$D$49:$M$49,0)),""))))))</f>
        <v/>
      </c>
      <c r="Q23" s="131">
        <f t="shared" si="0"/>
        <v>15</v>
      </c>
    </row>
    <row r="24" spans="1:17" ht="20.100000000000001" customHeight="1">
      <c r="A24" s="293" t="str">
        <f>IFERROR(INDEX('Material Handling'!$C$10:$AH$33,MATCH(A$97,Material_Handling[Data],0),MATCH($Q24,'Material Handling'!$C$40:$AH$40,0)), IFERROR(INDEX('Drop Point'!$B$13:$M$36,MATCH(A$97,'Drop Point'!$B$13:$B$37,0),MATCH($Q24,'Drop Point'!$B$41:$M$41,0)),
IFERROR(INDEX('Control - Grain dscf'!$C$11:$N$27,MATCH(A$97,'Control - Grain dscf'!$B$11:$B$27,0),MATCH($Q24,'Control - Grain dscf'!$C$32:$N$32,0)),
IFERROR(INDEX('Control - Alt'!$C$9:$O$27,MATCH(A$97,'Control - Alt'!$B$9:$B$27,0),MATCH($Q24,'Control - Alt'!$C$32:$O$32,0)),
IFERROR(INDEX(Stockpile!$C$10:$M$26,MATCH(A$97,Stockpile!$B$10:$B$26,0),MATCH($Q24,Stockpile!$C$30:$M$30,0)),
IFERROR(INDEX('Asphalt Silo &amp; Unloading'!$D$10:$M$44,MATCH(A$97,'Asphalt Silo &amp; Unloading'!$B$10:$B$44,0),MATCH($Q24,'Asphalt Silo &amp; Unloading'!$D$49:$M$49,0)),""))))))</f>
        <v/>
      </c>
      <c r="B24" s="135" t="str">
        <f>IFERROR(INDEX('Material Handling'!$C$10:$AH$33,MATCH(B$97,Material_Handling[Data],0),MATCH($Q24,'Material Handling'!$C$40:$AH$40,0)), IFERROR(INDEX('Drop Point'!$B$13:$M$36,MATCH(B$97,'Drop Point'!$B$13:$B$37,0),MATCH($Q24,'Drop Point'!$B$41:$M$41,0)),
IFERROR(INDEX('Control - Grain dscf'!$C$11:$N$27,MATCH(B$97,'Control - Grain dscf'!$B$11:$B$27,0),MATCH($Q24,'Control - Grain dscf'!$C$32:$N$32,0)),
IFERROR(INDEX('Control - Alt'!$C$9:$O$27,MATCH(B$97,'Control - Alt'!$B$9:$B$27,0),MATCH($Q24,'Control - Alt'!$C$32:$O$32,0)),
IFERROR(INDEX(Stockpile!$C$10:$M$26,MATCH(B$97,Stockpile!$B$10:$B$26,0),MATCH($Q24,Stockpile!$C$30:$M$30,0)),
IFERROR(INDEX('Asphalt Silo &amp; Unloading'!$D$10:$M$44,MATCH(B$97,'Asphalt Silo &amp; Unloading'!$B$10:$B$44,0),MATCH($Q24,'Asphalt Silo &amp; Unloading'!$D$49:$M$49,0)),""))))))</f>
        <v/>
      </c>
      <c r="C24" s="135" t="str">
        <f>IFERROR(INDEX('Material Handling'!$C$10:$AH$33,MATCH(C$97,Material_Handling[Data],0),MATCH($Q24,'Material Handling'!$C$40:$AH$40,0)), IFERROR(INDEX('Drop Point'!$B$13:$M$36,MATCH(C$97,'Drop Point'!$B$13:$B$37,0),MATCH($Q24,'Drop Point'!$B$41:$M$41,0)),
IFERROR(INDEX('Control - Grain dscf'!$C$11:$N$27,MATCH(C$97,'Control - Grain dscf'!$B$11:$B$27,0),MATCH($Q24,'Control - Grain dscf'!$C$32:$N$32,0)),
IFERROR(INDEX('Control - Alt'!$C$9:$O$27,MATCH(C$97,'Control - Alt'!$B$9:$B$27,0),MATCH($Q24,'Control - Alt'!$C$32:$O$32,0)),
IFERROR(INDEX(Stockpile!$C$10:$M$26,MATCH(C$97,Stockpile!$B$10:$B$26,0),MATCH($Q24,Stockpile!$C$30:$M$30,0)),
IFERROR(INDEX('Asphalt Silo &amp; Unloading'!$D$10:$M$44,MATCH(C$97,'Asphalt Silo &amp; Unloading'!$B$10:$B$44,0),MATCH($Q24,'Asphalt Silo &amp; Unloading'!$D$49:$M$49,0)),""))))))</f>
        <v/>
      </c>
      <c r="D24" s="135" t="str">
        <f>IFERROR(INDEX('Material Handling'!$C$10:$AH$33,MATCH(D$97,Material_Handling[Data],0),MATCH($Q24,'Material Handling'!$C$40:$AH$40,0)), IFERROR(INDEX('Drop Point'!$B$13:$M$36,MATCH(D$97,'Drop Point'!$B$13:$B$37,0),MATCH($Q24,'Drop Point'!$B$41:$M$41,0)),
IFERROR(INDEX('Control - Grain dscf'!$C$11:$N$27,MATCH(D$97,'Control - Grain dscf'!$B$11:$B$27,0),MATCH($Q24,'Control - Grain dscf'!$C$32:$N$32,0)),
IFERROR(INDEX('Control - Alt'!$C$9:$O$27,MATCH(D$97,'Control - Alt'!$B$9:$B$27,0),MATCH($Q24,'Control - Alt'!$C$32:$O$32,0)),
IFERROR(INDEX(Stockpile!$C$10:$M$26,MATCH(D$97,Stockpile!$B$10:$B$26,0),MATCH($Q24,Stockpile!$C$30:$M$30,0)),
IFERROR(INDEX('Asphalt Silo &amp; Unloading'!$D$10:$M$44,MATCH(D$97,'Asphalt Silo &amp; Unloading'!$B$10:$B$44,0),MATCH($Q24,'Asphalt Silo &amp; Unloading'!$D$49:$M$49,0)),""))))))</f>
        <v/>
      </c>
      <c r="E24" s="620" t="str">
        <f>IFERROR(INDEX('Material Handling'!$C$10:$AH$33,MATCH(E$97,Material_Handling[Data],0),MATCH($Q24,'Material Handling'!$C$40:$AH$40,0)), IFERROR(INDEX('Drop Point'!$B$13:$M$36,MATCH(E$97,'Drop Point'!$B$13:$B$37,0),MATCH($Q24,'Drop Point'!$B$41:$M$41,0)),
IFERROR(INDEX('Control - Grain dscf'!$C$11:$N$27,MATCH(E$97,'Control - Grain dscf'!$B$11:$B$27,0),MATCH($Q24,'Control - Grain dscf'!$C$32:$N$32,0)),
IFERROR(INDEX('Control - Alt'!$C$9:$O$27,MATCH(E$97,'Control - Alt'!$B$9:$B$27,0),MATCH($Q24,'Control - Alt'!$C$32:$O$32,0)),
IFERROR(INDEX(Stockpile!$C$10:$M$26,MATCH(E$97,Stockpile!$B$10:$B$26,0),MATCH($Q24,Stockpile!$C$30:$M$30,0)),
IFERROR(INDEX('Asphalt Silo &amp; Unloading'!$D$10:$M$44,MATCH(E$97,'Asphalt Silo &amp; Unloading'!$B$10:$B$44,0),MATCH($Q24,'Asphalt Silo &amp; Unloading'!$D$49:$M$49,0)),""))))))</f>
        <v/>
      </c>
      <c r="F24" s="590" t="str">
        <f>IFERROR(INDEX('Material Handling'!$C$10:$AH$33,MATCH(F$97,Material_Handling[Data],0),MATCH($Q24,'Material Handling'!$C$40:$AH$40,0)), IFERROR(INDEX('Drop Point'!$B$13:$M$36,MATCH(F$97,'Drop Point'!$B$13:$B$37,0),MATCH($Q24,'Drop Point'!$B$41:$M$41,0)),
IFERROR(INDEX('Control - Grain dscf'!$C$11:$N$27,MATCH(F$97,'Control - Grain dscf'!$B$11:$B$27,0),MATCH($Q24,'Control - Grain dscf'!$C$32:$N$32,0)),
IFERROR(INDEX('Control - Alt'!$C$9:$O$27,MATCH(F$97,'Control - Alt'!$B$9:$B$27,0),MATCH($Q24,'Control - Alt'!$C$32:$O$32,0)),
IFERROR(INDEX(Stockpile!$C$10:$M$26,MATCH(F$97,Stockpile!$B$10:$B$26,0),MATCH($Q24,Stockpile!$C$30:$M$30,0)),
IFERROR(INDEX('Asphalt Silo &amp; Unloading'!$D$10:$M$44,MATCH(F$97,'Asphalt Silo &amp; Unloading'!$B$10:$B$44,0),MATCH($Q24,'Asphalt Silo &amp; Unloading'!$D$49:$M$49,0)),""))))))</f>
        <v/>
      </c>
      <c r="G24" s="590" t="str">
        <f>IFERROR(INDEX('Material Handling'!$C$10:$AH$33,MATCH(G$97,Material_Handling[Data],0),MATCH($Q24,'Material Handling'!$C$40:$AH$40,0)), IFERROR(INDEX('Drop Point'!$B$13:$M$36,MATCH(G$97,'Drop Point'!$B$13:$B$37,0),MATCH($Q24,'Drop Point'!$B$41:$M$41,0)),
IFERROR(INDEX('Control - Grain dscf'!$C$11:$N$27,MATCH(G$97,'Control - Grain dscf'!$B$11:$B$27,0),MATCH($Q24,'Control - Grain dscf'!$C$32:$N$32,0)),
IFERROR(INDEX('Control - Alt'!$C$9:$O$27,MATCH(G$97,'Control - Alt'!$B$9:$B$27,0),MATCH($Q24,'Control - Alt'!$C$32:$O$32,0)),
IFERROR(INDEX(Stockpile!$C$10:$M$26,MATCH(G$97,Stockpile!$B$10:$B$26,0),MATCH($Q24,Stockpile!$C$30:$M$30,0)),
IFERROR(INDEX('Asphalt Silo &amp; Unloading'!$D$10:$M$44,MATCH(G$97,'Asphalt Silo &amp; Unloading'!$B$10:$B$44,0),MATCH($Q24,'Asphalt Silo &amp; Unloading'!$D$49:$M$49,0)),""))))))</f>
        <v/>
      </c>
      <c r="H24" s="590" t="str">
        <f>IFERROR(INDEX('Material Handling'!$C$10:$AH$33,MATCH(H$97,Material_Handling[Data],0),MATCH($Q24,'Material Handling'!$C$40:$AH$40,0)), IFERROR(INDEX('Drop Point'!$B$13:$M$36,MATCH(H$97,'Drop Point'!$B$13:$B$37,0),MATCH($Q24,'Drop Point'!$B$41:$M$41,0)),
IFERROR(INDEX('Control - Grain dscf'!$C$11:$N$27,MATCH(H$97,'Control - Grain dscf'!$B$11:$B$27,0),MATCH($Q24,'Control - Grain dscf'!$C$32:$N$32,0)),
IFERROR(INDEX('Control - Alt'!$C$9:$O$27,MATCH(H$97,'Control - Alt'!$B$9:$B$27,0),MATCH($Q24,'Control - Alt'!$C$32:$O$32,0)),
IFERROR(INDEX(Stockpile!$C$10:$M$26,MATCH(H$97,Stockpile!$B$10:$B$26,0),MATCH($Q24,Stockpile!$C$30:$M$30,0)),
IFERROR(INDEX('Asphalt Silo &amp; Unloading'!$D$10:$M$44,MATCH(H$97,'Asphalt Silo &amp; Unloading'!$B$10:$B$44,0),MATCH($Q24,'Asphalt Silo &amp; Unloading'!$D$49:$M$49,0)),""))))))</f>
        <v/>
      </c>
      <c r="I24" s="590" t="str">
        <f>IFERROR(INDEX('Material Handling'!$C$10:$AH$33,MATCH(I$97,Material_Handling[Data],0),MATCH($Q24,'Material Handling'!$C$40:$AH$40,0)), IFERROR(INDEX('Drop Point'!$B$13:$M$36,MATCH(I$97,'Drop Point'!$B$13:$B$37,0),MATCH($Q24,'Drop Point'!$B$41:$M$41,0)),
IFERROR(INDEX('Control - Grain dscf'!$C$11:$N$27,MATCH(I$97,'Control - Grain dscf'!$B$11:$B$27,0),MATCH($Q24,'Control - Grain dscf'!$C$32:$N$32,0)),
IFERROR(INDEX('Control - Alt'!$C$9:$O$27,MATCH(I$97,'Control - Alt'!$B$9:$B$27,0),MATCH($Q24,'Control - Alt'!$C$32:$O$32,0)),
IFERROR(INDEX(Stockpile!$C$10:$M$26,MATCH(I$97,Stockpile!$B$10:$B$26,0),MATCH($Q24,Stockpile!$C$30:$M$30,0)),
IFERROR(INDEX('Asphalt Silo &amp; Unloading'!$D$10:$M$44,MATCH(I$97,'Asphalt Silo &amp; Unloading'!$B$10:$B$44,0),MATCH($Q24,'Asphalt Silo &amp; Unloading'!$D$49:$M$49,0)),""))))))</f>
        <v/>
      </c>
      <c r="J24" s="590" t="str">
        <f>IFERROR(INDEX('Material Handling'!$C$10:$AH$33,MATCH(J$97,Material_Handling[Data],0),MATCH($Q24,'Material Handling'!$C$40:$AH$40,0)), IFERROR(INDEX('Drop Point'!$B$13:$M$36,MATCH(J$97,'Drop Point'!$B$13:$B$37,0),MATCH($Q24,'Drop Point'!$B$41:$M$41,0)),
IFERROR(INDEX('Control - Grain dscf'!$C$11:$N$27,MATCH(J$97,'Control - Grain dscf'!$B$11:$B$27,0),MATCH($Q24,'Control - Grain dscf'!$C$32:$N$32,0)),
IFERROR(INDEX('Control - Alt'!$C$9:$O$27,MATCH(J$97,'Control - Alt'!$B$9:$B$27,0),MATCH($Q24,'Control - Alt'!$C$32:$O$32,0)),
IFERROR(INDEX(Stockpile!$C$10:$M$26,MATCH(J$97,Stockpile!$B$10:$B$26,0),MATCH($Q24,Stockpile!$C$30:$M$30,0)),
IFERROR(INDEX('Asphalt Silo &amp; Unloading'!$D$10:$M$44,MATCH(J$97,'Asphalt Silo &amp; Unloading'!$B$10:$B$44,0),MATCH($Q24,'Asphalt Silo &amp; Unloading'!$D$49:$M$49,0)),""))))))</f>
        <v/>
      </c>
      <c r="K24" s="590" t="str">
        <f>IFERROR(INDEX('Material Handling'!$C$10:$AH$33,MATCH(K$97,Material_Handling[Data],0),MATCH($Q24,'Material Handling'!$C$40:$AH$40,0)), IFERROR(INDEX('Drop Point'!$B$13:$M$36,MATCH(K$97,'Drop Point'!$B$13:$B$37,0),MATCH($Q24,'Drop Point'!$B$41:$M$41,0)),
IFERROR(INDEX('Control - Grain dscf'!$C$11:$N$27,MATCH(K$97,'Control - Grain dscf'!$B$11:$B$27,0),MATCH($Q24,'Control - Grain dscf'!$C$32:$N$32,0)),
IFERROR(INDEX('Control - Alt'!$C$9:$O$27,MATCH(K$97,'Control - Alt'!$B$9:$B$27,0),MATCH($Q24,'Control - Alt'!$C$32:$O$32,0)),
IFERROR(INDEX(Stockpile!$C$10:$M$26,MATCH(K$97,Stockpile!$B$10:$B$26,0),MATCH($Q24,Stockpile!$C$30:$M$30,0)),
IFERROR(INDEX('Asphalt Silo &amp; Unloading'!$D$10:$M$44,MATCH(K$97,'Asphalt Silo &amp; Unloading'!$B$10:$B$44,0),MATCH($Q24,'Asphalt Silo &amp; Unloading'!$D$49:$M$49,0)),""))))))</f>
        <v/>
      </c>
      <c r="L24" s="590" t="str">
        <f>IFERROR(INDEX('Material Handling'!$C$10:$AH$33,MATCH(L$97,Material_Handling[Data],0),MATCH($Q24,'Material Handling'!$C$40:$AH$40,0)), IFERROR(INDEX('Drop Point'!$B$13:$M$36,MATCH(L$97,'Drop Point'!$B$13:$B$37,0),MATCH($Q24,'Drop Point'!$B$41:$M$41,0)),
IFERROR(INDEX('Control - Grain dscf'!$C$11:$N$27,MATCH(L$97,'Control - Grain dscf'!$B$11:$B$27,0),MATCH($Q24,'Control - Grain dscf'!$C$32:$N$32,0)),
IFERROR(INDEX('Control - Alt'!$C$9:$O$27,MATCH(L$97,'Control - Alt'!$B$9:$B$27,0),MATCH($Q24,'Control - Alt'!$C$32:$O$32,0)),
IFERROR(INDEX(Stockpile!$C$10:$M$26,MATCH(L$97,Stockpile!$B$10:$B$26,0),MATCH($Q24,Stockpile!$C$30:$M$30,0)),
IFERROR(INDEX('Asphalt Silo &amp; Unloading'!$D$10:$M$44,MATCH(L$97,'Asphalt Silo &amp; Unloading'!$B$10:$B$44,0),MATCH($Q24,'Asphalt Silo &amp; Unloading'!$D$49:$M$49,0)),""))))))</f>
        <v/>
      </c>
      <c r="M24" s="590" t="str">
        <f>IFERROR(INDEX('Material Handling'!$C$10:$AH$33,MATCH(M$97,Material_Handling[Data],0),MATCH($Q24,'Material Handling'!$C$40:$AH$40,0)), IFERROR(INDEX('Drop Point'!$B$13:$M$36,MATCH(M$97,'Drop Point'!$B$13:$B$37,0),MATCH($Q24,'Drop Point'!$B$41:$M$41,0)),
IFERROR(INDEX('Control - Grain dscf'!$C$11:$N$27,MATCH(M$97,'Control - Grain dscf'!$B$11:$B$27,0),MATCH($Q24,'Control - Grain dscf'!$C$32:$N$32,0)),
IFERROR(INDEX('Control - Alt'!$C$9:$O$27,MATCH(M$97,'Control - Alt'!$B$9:$B$27,0),MATCH($Q24,'Control - Alt'!$C$32:$O$32,0)),
IFERROR(INDEX(Stockpile!$C$10:$M$26,MATCH(M$97,Stockpile!$B$10:$B$26,0),MATCH($Q24,Stockpile!$C$30:$M$30,0)),
IFERROR(INDEX('Asphalt Silo &amp; Unloading'!$D$10:$M$44,MATCH(M$97,'Asphalt Silo &amp; Unloading'!$B$10:$B$44,0),MATCH($Q24,'Asphalt Silo &amp; Unloading'!$D$49:$M$49,0)),""))))))</f>
        <v/>
      </c>
      <c r="N24" s="590" t="str">
        <f>IFERROR(INDEX('Material Handling'!$C$10:$AH$33,MATCH(N$97,Material_Handling[Data],0),MATCH($Q24,'Material Handling'!$C$40:$AH$40,0)), IFERROR(INDEX('Drop Point'!$B$13:$M$36,MATCH(N$97,'Drop Point'!$B$13:$B$37,0),MATCH($Q24,'Drop Point'!$B$41:$M$41,0)),
IFERROR(INDEX('Control - Grain dscf'!$C$11:$N$27,MATCH(N$97,'Control - Grain dscf'!$B$11:$B$27,0),MATCH($Q24,'Control - Grain dscf'!$C$32:$N$32,0)),
IFERROR(INDEX('Control - Alt'!$C$9:$O$27,MATCH(N$97,'Control - Alt'!$B$9:$B$27,0),MATCH($Q24,'Control - Alt'!$C$32:$O$32,0)),
IFERROR(INDEX(Stockpile!$C$10:$M$26,MATCH(N$97,Stockpile!$B$10:$B$26,0),MATCH($Q24,Stockpile!$C$30:$M$30,0)),
IFERROR(INDEX('Asphalt Silo &amp; Unloading'!$D$10:$M$44,MATCH(N$97,'Asphalt Silo &amp; Unloading'!$B$10:$B$44,0),MATCH($Q24,'Asphalt Silo &amp; Unloading'!$D$49:$M$49,0)),""))))))</f>
        <v/>
      </c>
      <c r="O24" s="591" t="str">
        <f>IFERROR(INDEX('Material Handling'!$C$10:$AH$33,MATCH(O$97,Material_Handling[Data],0),MATCH($Q24,'Material Handling'!$C$40:$AH$40,0)), IFERROR(INDEX('Drop Point'!$B$13:$M$36,MATCH(O$97,'Drop Point'!$B$13:$B$37,0),MATCH($Q24,'Drop Point'!$B$41:$M$41,0)),
IFERROR(INDEX('Control - Grain dscf'!$C$11:$N$27,MATCH(O$97,'Control - Grain dscf'!$B$11:$B$27,0),MATCH($Q24,'Control - Grain dscf'!$C$32:$N$32,0)),
IFERROR(INDEX('Control - Alt'!$C$9:$O$27,MATCH(O$97,'Control - Alt'!$B$9:$B$27,0),MATCH($Q24,'Control - Alt'!$C$32:$O$32,0)),
IFERROR(INDEX(Stockpile!$C$10:$M$26,MATCH(O$97,Stockpile!$B$10:$B$26,0),MATCH($Q24,Stockpile!$C$30:$M$30,0)),
IFERROR(INDEX('Asphalt Silo &amp; Unloading'!$D$10:$M$44,MATCH(O$97,'Asphalt Silo &amp; Unloading'!$B$10:$B$44,0),MATCH($Q24,'Asphalt Silo &amp; Unloading'!$D$49:$M$49,0)),""))))))</f>
        <v/>
      </c>
      <c r="Q24" s="131">
        <f t="shared" si="0"/>
        <v>16</v>
      </c>
    </row>
    <row r="25" spans="1:17" ht="20.100000000000001" customHeight="1">
      <c r="A25" s="293" t="str">
        <f>IFERROR(INDEX('Material Handling'!$C$10:$AH$33,MATCH(A$97,Material_Handling[Data],0),MATCH($Q25,'Material Handling'!$C$40:$AH$40,0)), IFERROR(INDEX('Drop Point'!$B$13:$M$36,MATCH(A$97,'Drop Point'!$B$13:$B$37,0),MATCH($Q25,'Drop Point'!$B$41:$M$41,0)),
IFERROR(INDEX('Control - Grain dscf'!$C$11:$N$27,MATCH(A$97,'Control - Grain dscf'!$B$11:$B$27,0),MATCH($Q25,'Control - Grain dscf'!$C$32:$N$32,0)),
IFERROR(INDEX('Control - Alt'!$C$9:$O$27,MATCH(A$97,'Control - Alt'!$B$9:$B$27,0),MATCH($Q25,'Control - Alt'!$C$32:$O$32,0)),
IFERROR(INDEX(Stockpile!$C$10:$M$26,MATCH(A$97,Stockpile!$B$10:$B$26,0),MATCH($Q25,Stockpile!$C$30:$M$30,0)),
IFERROR(INDEX('Asphalt Silo &amp; Unloading'!$D$10:$M$44,MATCH(A$97,'Asphalt Silo &amp; Unloading'!$B$10:$B$44,0),MATCH($Q25,'Asphalt Silo &amp; Unloading'!$D$49:$M$49,0)),""))))))</f>
        <v/>
      </c>
      <c r="B25" s="135" t="str">
        <f>IFERROR(INDEX('Material Handling'!$C$10:$AH$33,MATCH(B$97,Material_Handling[Data],0),MATCH($Q25,'Material Handling'!$C$40:$AH$40,0)), IFERROR(INDEX('Drop Point'!$B$13:$M$36,MATCH(B$97,'Drop Point'!$B$13:$B$37,0),MATCH($Q25,'Drop Point'!$B$41:$M$41,0)),
IFERROR(INDEX('Control - Grain dscf'!$C$11:$N$27,MATCH(B$97,'Control - Grain dscf'!$B$11:$B$27,0),MATCH($Q25,'Control - Grain dscf'!$C$32:$N$32,0)),
IFERROR(INDEX('Control - Alt'!$C$9:$O$27,MATCH(B$97,'Control - Alt'!$B$9:$B$27,0),MATCH($Q25,'Control - Alt'!$C$32:$O$32,0)),
IFERROR(INDEX(Stockpile!$C$10:$M$26,MATCH(B$97,Stockpile!$B$10:$B$26,0),MATCH($Q25,Stockpile!$C$30:$M$30,0)),
IFERROR(INDEX('Asphalt Silo &amp; Unloading'!$D$10:$M$44,MATCH(B$97,'Asphalt Silo &amp; Unloading'!$B$10:$B$44,0),MATCH($Q25,'Asphalt Silo &amp; Unloading'!$D$49:$M$49,0)),""))))))</f>
        <v/>
      </c>
      <c r="C25" s="135" t="str">
        <f>IFERROR(INDEX('Material Handling'!$C$10:$AH$33,MATCH(C$97,Material_Handling[Data],0),MATCH($Q25,'Material Handling'!$C$40:$AH$40,0)), IFERROR(INDEX('Drop Point'!$B$13:$M$36,MATCH(C$97,'Drop Point'!$B$13:$B$37,0),MATCH($Q25,'Drop Point'!$B$41:$M$41,0)),
IFERROR(INDEX('Control - Grain dscf'!$C$11:$N$27,MATCH(C$97,'Control - Grain dscf'!$B$11:$B$27,0),MATCH($Q25,'Control - Grain dscf'!$C$32:$N$32,0)),
IFERROR(INDEX('Control - Alt'!$C$9:$O$27,MATCH(C$97,'Control - Alt'!$B$9:$B$27,0),MATCH($Q25,'Control - Alt'!$C$32:$O$32,0)),
IFERROR(INDEX(Stockpile!$C$10:$M$26,MATCH(C$97,Stockpile!$B$10:$B$26,0),MATCH($Q25,Stockpile!$C$30:$M$30,0)),
IFERROR(INDEX('Asphalt Silo &amp; Unloading'!$D$10:$M$44,MATCH(C$97,'Asphalt Silo &amp; Unloading'!$B$10:$B$44,0),MATCH($Q25,'Asphalt Silo &amp; Unloading'!$D$49:$M$49,0)),""))))))</f>
        <v/>
      </c>
      <c r="D25" s="135" t="str">
        <f>IFERROR(INDEX('Material Handling'!$C$10:$AH$33,MATCH(D$97,Material_Handling[Data],0),MATCH($Q25,'Material Handling'!$C$40:$AH$40,0)), IFERROR(INDEX('Drop Point'!$B$13:$M$36,MATCH(D$97,'Drop Point'!$B$13:$B$37,0),MATCH($Q25,'Drop Point'!$B$41:$M$41,0)),
IFERROR(INDEX('Control - Grain dscf'!$C$11:$N$27,MATCH(D$97,'Control - Grain dscf'!$B$11:$B$27,0),MATCH($Q25,'Control - Grain dscf'!$C$32:$N$32,0)),
IFERROR(INDEX('Control - Alt'!$C$9:$O$27,MATCH(D$97,'Control - Alt'!$B$9:$B$27,0),MATCH($Q25,'Control - Alt'!$C$32:$O$32,0)),
IFERROR(INDEX(Stockpile!$C$10:$M$26,MATCH(D$97,Stockpile!$B$10:$B$26,0),MATCH($Q25,Stockpile!$C$30:$M$30,0)),
IFERROR(INDEX('Asphalt Silo &amp; Unloading'!$D$10:$M$44,MATCH(D$97,'Asphalt Silo &amp; Unloading'!$B$10:$B$44,0),MATCH($Q25,'Asphalt Silo &amp; Unloading'!$D$49:$M$49,0)),""))))))</f>
        <v/>
      </c>
      <c r="E25" s="620" t="str">
        <f>IFERROR(INDEX('Material Handling'!$C$10:$AH$33,MATCH(E$97,Material_Handling[Data],0),MATCH($Q25,'Material Handling'!$C$40:$AH$40,0)), IFERROR(INDEX('Drop Point'!$B$13:$M$36,MATCH(E$97,'Drop Point'!$B$13:$B$37,0),MATCH($Q25,'Drop Point'!$B$41:$M$41,0)),
IFERROR(INDEX('Control - Grain dscf'!$C$11:$N$27,MATCH(E$97,'Control - Grain dscf'!$B$11:$B$27,0),MATCH($Q25,'Control - Grain dscf'!$C$32:$N$32,0)),
IFERROR(INDEX('Control - Alt'!$C$9:$O$27,MATCH(E$97,'Control - Alt'!$B$9:$B$27,0),MATCH($Q25,'Control - Alt'!$C$32:$O$32,0)),
IFERROR(INDEX(Stockpile!$C$10:$M$26,MATCH(E$97,Stockpile!$B$10:$B$26,0),MATCH($Q25,Stockpile!$C$30:$M$30,0)),
IFERROR(INDEX('Asphalt Silo &amp; Unloading'!$D$10:$M$44,MATCH(E$97,'Asphalt Silo &amp; Unloading'!$B$10:$B$44,0),MATCH($Q25,'Asphalt Silo &amp; Unloading'!$D$49:$M$49,0)),""))))))</f>
        <v/>
      </c>
      <c r="F25" s="590" t="str">
        <f>IFERROR(INDEX('Material Handling'!$C$10:$AH$33,MATCH(F$97,Material_Handling[Data],0),MATCH($Q25,'Material Handling'!$C$40:$AH$40,0)), IFERROR(INDEX('Drop Point'!$B$13:$M$36,MATCH(F$97,'Drop Point'!$B$13:$B$37,0),MATCH($Q25,'Drop Point'!$B$41:$M$41,0)),
IFERROR(INDEX('Control - Grain dscf'!$C$11:$N$27,MATCH(F$97,'Control - Grain dscf'!$B$11:$B$27,0),MATCH($Q25,'Control - Grain dscf'!$C$32:$N$32,0)),
IFERROR(INDEX('Control - Alt'!$C$9:$O$27,MATCH(F$97,'Control - Alt'!$B$9:$B$27,0),MATCH($Q25,'Control - Alt'!$C$32:$O$32,0)),
IFERROR(INDEX(Stockpile!$C$10:$M$26,MATCH(F$97,Stockpile!$B$10:$B$26,0),MATCH($Q25,Stockpile!$C$30:$M$30,0)),
IFERROR(INDEX('Asphalt Silo &amp; Unloading'!$D$10:$M$44,MATCH(F$97,'Asphalt Silo &amp; Unloading'!$B$10:$B$44,0),MATCH($Q25,'Asphalt Silo &amp; Unloading'!$D$49:$M$49,0)),""))))))</f>
        <v/>
      </c>
      <c r="G25" s="590" t="str">
        <f>IFERROR(INDEX('Material Handling'!$C$10:$AH$33,MATCH(G$97,Material_Handling[Data],0),MATCH($Q25,'Material Handling'!$C$40:$AH$40,0)), IFERROR(INDEX('Drop Point'!$B$13:$M$36,MATCH(G$97,'Drop Point'!$B$13:$B$37,0),MATCH($Q25,'Drop Point'!$B$41:$M$41,0)),
IFERROR(INDEX('Control - Grain dscf'!$C$11:$N$27,MATCH(G$97,'Control - Grain dscf'!$B$11:$B$27,0),MATCH($Q25,'Control - Grain dscf'!$C$32:$N$32,0)),
IFERROR(INDEX('Control - Alt'!$C$9:$O$27,MATCH(G$97,'Control - Alt'!$B$9:$B$27,0),MATCH($Q25,'Control - Alt'!$C$32:$O$32,0)),
IFERROR(INDEX(Stockpile!$C$10:$M$26,MATCH(G$97,Stockpile!$B$10:$B$26,0),MATCH($Q25,Stockpile!$C$30:$M$30,0)),
IFERROR(INDEX('Asphalt Silo &amp; Unloading'!$D$10:$M$44,MATCH(G$97,'Asphalt Silo &amp; Unloading'!$B$10:$B$44,0),MATCH($Q25,'Asphalt Silo &amp; Unloading'!$D$49:$M$49,0)),""))))))</f>
        <v/>
      </c>
      <c r="H25" s="590" t="str">
        <f>IFERROR(INDEX('Material Handling'!$C$10:$AH$33,MATCH(H$97,Material_Handling[Data],0),MATCH($Q25,'Material Handling'!$C$40:$AH$40,0)), IFERROR(INDEX('Drop Point'!$B$13:$M$36,MATCH(H$97,'Drop Point'!$B$13:$B$37,0),MATCH($Q25,'Drop Point'!$B$41:$M$41,0)),
IFERROR(INDEX('Control - Grain dscf'!$C$11:$N$27,MATCH(H$97,'Control - Grain dscf'!$B$11:$B$27,0),MATCH($Q25,'Control - Grain dscf'!$C$32:$N$32,0)),
IFERROR(INDEX('Control - Alt'!$C$9:$O$27,MATCH(H$97,'Control - Alt'!$B$9:$B$27,0),MATCH($Q25,'Control - Alt'!$C$32:$O$32,0)),
IFERROR(INDEX(Stockpile!$C$10:$M$26,MATCH(H$97,Stockpile!$B$10:$B$26,0),MATCH($Q25,Stockpile!$C$30:$M$30,0)),
IFERROR(INDEX('Asphalt Silo &amp; Unloading'!$D$10:$M$44,MATCH(H$97,'Asphalt Silo &amp; Unloading'!$B$10:$B$44,0),MATCH($Q25,'Asphalt Silo &amp; Unloading'!$D$49:$M$49,0)),""))))))</f>
        <v/>
      </c>
      <c r="I25" s="590" t="str">
        <f>IFERROR(INDEX('Material Handling'!$C$10:$AH$33,MATCH(I$97,Material_Handling[Data],0),MATCH($Q25,'Material Handling'!$C$40:$AH$40,0)), IFERROR(INDEX('Drop Point'!$B$13:$M$36,MATCH(I$97,'Drop Point'!$B$13:$B$37,0),MATCH($Q25,'Drop Point'!$B$41:$M$41,0)),
IFERROR(INDEX('Control - Grain dscf'!$C$11:$N$27,MATCH(I$97,'Control - Grain dscf'!$B$11:$B$27,0),MATCH($Q25,'Control - Grain dscf'!$C$32:$N$32,0)),
IFERROR(INDEX('Control - Alt'!$C$9:$O$27,MATCH(I$97,'Control - Alt'!$B$9:$B$27,0),MATCH($Q25,'Control - Alt'!$C$32:$O$32,0)),
IFERROR(INDEX(Stockpile!$C$10:$M$26,MATCH(I$97,Stockpile!$B$10:$B$26,0),MATCH($Q25,Stockpile!$C$30:$M$30,0)),
IFERROR(INDEX('Asphalt Silo &amp; Unloading'!$D$10:$M$44,MATCH(I$97,'Asphalt Silo &amp; Unloading'!$B$10:$B$44,0),MATCH($Q25,'Asphalt Silo &amp; Unloading'!$D$49:$M$49,0)),""))))))</f>
        <v/>
      </c>
      <c r="J25" s="590" t="str">
        <f>IFERROR(INDEX('Material Handling'!$C$10:$AH$33,MATCH(J$97,Material_Handling[Data],0),MATCH($Q25,'Material Handling'!$C$40:$AH$40,0)), IFERROR(INDEX('Drop Point'!$B$13:$M$36,MATCH(J$97,'Drop Point'!$B$13:$B$37,0),MATCH($Q25,'Drop Point'!$B$41:$M$41,0)),
IFERROR(INDEX('Control - Grain dscf'!$C$11:$N$27,MATCH(J$97,'Control - Grain dscf'!$B$11:$B$27,0),MATCH($Q25,'Control - Grain dscf'!$C$32:$N$32,0)),
IFERROR(INDEX('Control - Alt'!$C$9:$O$27,MATCH(J$97,'Control - Alt'!$B$9:$B$27,0),MATCH($Q25,'Control - Alt'!$C$32:$O$32,0)),
IFERROR(INDEX(Stockpile!$C$10:$M$26,MATCH(J$97,Stockpile!$B$10:$B$26,0),MATCH($Q25,Stockpile!$C$30:$M$30,0)),
IFERROR(INDEX('Asphalt Silo &amp; Unloading'!$D$10:$M$44,MATCH(J$97,'Asphalt Silo &amp; Unloading'!$B$10:$B$44,0),MATCH($Q25,'Asphalt Silo &amp; Unloading'!$D$49:$M$49,0)),""))))))</f>
        <v/>
      </c>
      <c r="K25" s="590" t="str">
        <f>IFERROR(INDEX('Material Handling'!$C$10:$AH$33,MATCH(K$97,Material_Handling[Data],0),MATCH($Q25,'Material Handling'!$C$40:$AH$40,0)), IFERROR(INDEX('Drop Point'!$B$13:$M$36,MATCH(K$97,'Drop Point'!$B$13:$B$37,0),MATCH($Q25,'Drop Point'!$B$41:$M$41,0)),
IFERROR(INDEX('Control - Grain dscf'!$C$11:$N$27,MATCH(K$97,'Control - Grain dscf'!$B$11:$B$27,0),MATCH($Q25,'Control - Grain dscf'!$C$32:$N$32,0)),
IFERROR(INDEX('Control - Alt'!$C$9:$O$27,MATCH(K$97,'Control - Alt'!$B$9:$B$27,0),MATCH($Q25,'Control - Alt'!$C$32:$O$32,0)),
IFERROR(INDEX(Stockpile!$C$10:$M$26,MATCH(K$97,Stockpile!$B$10:$B$26,0),MATCH($Q25,Stockpile!$C$30:$M$30,0)),
IFERROR(INDEX('Asphalt Silo &amp; Unloading'!$D$10:$M$44,MATCH(K$97,'Asphalt Silo &amp; Unloading'!$B$10:$B$44,0),MATCH($Q25,'Asphalt Silo &amp; Unloading'!$D$49:$M$49,0)),""))))))</f>
        <v/>
      </c>
      <c r="L25" s="590" t="str">
        <f>IFERROR(INDEX('Material Handling'!$C$10:$AH$33,MATCH(L$97,Material_Handling[Data],0),MATCH($Q25,'Material Handling'!$C$40:$AH$40,0)), IFERROR(INDEX('Drop Point'!$B$13:$M$36,MATCH(L$97,'Drop Point'!$B$13:$B$37,0),MATCH($Q25,'Drop Point'!$B$41:$M$41,0)),
IFERROR(INDEX('Control - Grain dscf'!$C$11:$N$27,MATCH(L$97,'Control - Grain dscf'!$B$11:$B$27,0),MATCH($Q25,'Control - Grain dscf'!$C$32:$N$32,0)),
IFERROR(INDEX('Control - Alt'!$C$9:$O$27,MATCH(L$97,'Control - Alt'!$B$9:$B$27,0),MATCH($Q25,'Control - Alt'!$C$32:$O$32,0)),
IFERROR(INDEX(Stockpile!$C$10:$M$26,MATCH(L$97,Stockpile!$B$10:$B$26,0),MATCH($Q25,Stockpile!$C$30:$M$30,0)),
IFERROR(INDEX('Asphalt Silo &amp; Unloading'!$D$10:$M$44,MATCH(L$97,'Asphalt Silo &amp; Unloading'!$B$10:$B$44,0),MATCH($Q25,'Asphalt Silo &amp; Unloading'!$D$49:$M$49,0)),""))))))</f>
        <v/>
      </c>
      <c r="M25" s="590" t="str">
        <f>IFERROR(INDEX('Material Handling'!$C$10:$AH$33,MATCH(M$97,Material_Handling[Data],0),MATCH($Q25,'Material Handling'!$C$40:$AH$40,0)), IFERROR(INDEX('Drop Point'!$B$13:$M$36,MATCH(M$97,'Drop Point'!$B$13:$B$37,0),MATCH($Q25,'Drop Point'!$B$41:$M$41,0)),
IFERROR(INDEX('Control - Grain dscf'!$C$11:$N$27,MATCH(M$97,'Control - Grain dscf'!$B$11:$B$27,0),MATCH($Q25,'Control - Grain dscf'!$C$32:$N$32,0)),
IFERROR(INDEX('Control - Alt'!$C$9:$O$27,MATCH(M$97,'Control - Alt'!$B$9:$B$27,0),MATCH($Q25,'Control - Alt'!$C$32:$O$32,0)),
IFERROR(INDEX(Stockpile!$C$10:$M$26,MATCH(M$97,Stockpile!$B$10:$B$26,0),MATCH($Q25,Stockpile!$C$30:$M$30,0)),
IFERROR(INDEX('Asphalt Silo &amp; Unloading'!$D$10:$M$44,MATCH(M$97,'Asphalt Silo &amp; Unloading'!$B$10:$B$44,0),MATCH($Q25,'Asphalt Silo &amp; Unloading'!$D$49:$M$49,0)),""))))))</f>
        <v/>
      </c>
      <c r="N25" s="590" t="str">
        <f>IFERROR(INDEX('Material Handling'!$C$10:$AH$33,MATCH(N$97,Material_Handling[Data],0),MATCH($Q25,'Material Handling'!$C$40:$AH$40,0)), IFERROR(INDEX('Drop Point'!$B$13:$M$36,MATCH(N$97,'Drop Point'!$B$13:$B$37,0),MATCH($Q25,'Drop Point'!$B$41:$M$41,0)),
IFERROR(INDEX('Control - Grain dscf'!$C$11:$N$27,MATCH(N$97,'Control - Grain dscf'!$B$11:$B$27,0),MATCH($Q25,'Control - Grain dscf'!$C$32:$N$32,0)),
IFERROR(INDEX('Control - Alt'!$C$9:$O$27,MATCH(N$97,'Control - Alt'!$B$9:$B$27,0),MATCH($Q25,'Control - Alt'!$C$32:$O$32,0)),
IFERROR(INDEX(Stockpile!$C$10:$M$26,MATCH(N$97,Stockpile!$B$10:$B$26,0),MATCH($Q25,Stockpile!$C$30:$M$30,0)),
IFERROR(INDEX('Asphalt Silo &amp; Unloading'!$D$10:$M$44,MATCH(N$97,'Asphalt Silo &amp; Unloading'!$B$10:$B$44,0),MATCH($Q25,'Asphalt Silo &amp; Unloading'!$D$49:$M$49,0)),""))))))</f>
        <v/>
      </c>
      <c r="O25" s="591" t="str">
        <f>IFERROR(INDEX('Material Handling'!$C$10:$AH$33,MATCH(O$97,Material_Handling[Data],0),MATCH($Q25,'Material Handling'!$C$40:$AH$40,0)), IFERROR(INDEX('Drop Point'!$B$13:$M$36,MATCH(O$97,'Drop Point'!$B$13:$B$37,0),MATCH($Q25,'Drop Point'!$B$41:$M$41,0)),
IFERROR(INDEX('Control - Grain dscf'!$C$11:$N$27,MATCH(O$97,'Control - Grain dscf'!$B$11:$B$27,0),MATCH($Q25,'Control - Grain dscf'!$C$32:$N$32,0)),
IFERROR(INDEX('Control - Alt'!$C$9:$O$27,MATCH(O$97,'Control - Alt'!$B$9:$B$27,0),MATCH($Q25,'Control - Alt'!$C$32:$O$32,0)),
IFERROR(INDEX(Stockpile!$C$10:$M$26,MATCH(O$97,Stockpile!$B$10:$B$26,0),MATCH($Q25,Stockpile!$C$30:$M$30,0)),
IFERROR(INDEX('Asphalt Silo &amp; Unloading'!$D$10:$M$44,MATCH(O$97,'Asphalt Silo &amp; Unloading'!$B$10:$B$44,0),MATCH($Q25,'Asphalt Silo &amp; Unloading'!$D$49:$M$49,0)),""))))))</f>
        <v/>
      </c>
      <c r="Q25" s="131">
        <f t="shared" si="0"/>
        <v>17</v>
      </c>
    </row>
    <row r="26" spans="1:17" ht="20.100000000000001" customHeight="1">
      <c r="A26" s="293" t="str">
        <f>IFERROR(INDEX('Material Handling'!$C$10:$AH$33,MATCH(A$97,Material_Handling[Data],0),MATCH($Q26,'Material Handling'!$C$40:$AH$40,0)), IFERROR(INDEX('Drop Point'!$B$13:$M$36,MATCH(A$97,'Drop Point'!$B$13:$B$37,0),MATCH($Q26,'Drop Point'!$B$41:$M$41,0)),
IFERROR(INDEX('Control - Grain dscf'!$C$11:$N$27,MATCH(A$97,'Control - Grain dscf'!$B$11:$B$27,0),MATCH($Q26,'Control - Grain dscf'!$C$32:$N$32,0)),
IFERROR(INDEX('Control - Alt'!$C$9:$O$27,MATCH(A$97,'Control - Alt'!$B$9:$B$27,0),MATCH($Q26,'Control - Alt'!$C$32:$O$32,0)),
IFERROR(INDEX(Stockpile!$C$10:$M$26,MATCH(A$97,Stockpile!$B$10:$B$26,0),MATCH($Q26,Stockpile!$C$30:$M$30,0)),
IFERROR(INDEX('Asphalt Silo &amp; Unloading'!$D$10:$M$44,MATCH(A$97,'Asphalt Silo &amp; Unloading'!$B$10:$B$44,0),MATCH($Q26,'Asphalt Silo &amp; Unloading'!$D$49:$M$49,0)),""))))))</f>
        <v/>
      </c>
      <c r="B26" s="135" t="str">
        <f>IFERROR(INDEX('Material Handling'!$C$10:$AH$33,MATCH(B$97,Material_Handling[Data],0),MATCH($Q26,'Material Handling'!$C$40:$AH$40,0)), IFERROR(INDEX('Drop Point'!$B$13:$M$36,MATCH(B$97,'Drop Point'!$B$13:$B$37,0),MATCH($Q26,'Drop Point'!$B$41:$M$41,0)),
IFERROR(INDEX('Control - Grain dscf'!$C$11:$N$27,MATCH(B$97,'Control - Grain dscf'!$B$11:$B$27,0),MATCH($Q26,'Control - Grain dscf'!$C$32:$N$32,0)),
IFERROR(INDEX('Control - Alt'!$C$9:$O$27,MATCH(B$97,'Control - Alt'!$B$9:$B$27,0),MATCH($Q26,'Control - Alt'!$C$32:$O$32,0)),
IFERROR(INDEX(Stockpile!$C$10:$M$26,MATCH(B$97,Stockpile!$B$10:$B$26,0),MATCH($Q26,Stockpile!$C$30:$M$30,0)),
IFERROR(INDEX('Asphalt Silo &amp; Unloading'!$D$10:$M$44,MATCH(B$97,'Asphalt Silo &amp; Unloading'!$B$10:$B$44,0),MATCH($Q26,'Asphalt Silo &amp; Unloading'!$D$49:$M$49,0)),""))))))</f>
        <v/>
      </c>
      <c r="C26" s="135" t="str">
        <f>IFERROR(INDEX('Material Handling'!$C$10:$AH$33,MATCH(C$97,Material_Handling[Data],0),MATCH($Q26,'Material Handling'!$C$40:$AH$40,0)), IFERROR(INDEX('Drop Point'!$B$13:$M$36,MATCH(C$97,'Drop Point'!$B$13:$B$37,0),MATCH($Q26,'Drop Point'!$B$41:$M$41,0)),
IFERROR(INDEX('Control - Grain dscf'!$C$11:$N$27,MATCH(C$97,'Control - Grain dscf'!$B$11:$B$27,0),MATCH($Q26,'Control - Grain dscf'!$C$32:$N$32,0)),
IFERROR(INDEX('Control - Alt'!$C$9:$O$27,MATCH(C$97,'Control - Alt'!$B$9:$B$27,0),MATCH($Q26,'Control - Alt'!$C$32:$O$32,0)),
IFERROR(INDEX(Stockpile!$C$10:$M$26,MATCH(C$97,Stockpile!$B$10:$B$26,0),MATCH($Q26,Stockpile!$C$30:$M$30,0)),
IFERROR(INDEX('Asphalt Silo &amp; Unloading'!$D$10:$M$44,MATCH(C$97,'Asphalt Silo &amp; Unloading'!$B$10:$B$44,0),MATCH($Q26,'Asphalt Silo &amp; Unloading'!$D$49:$M$49,0)),""))))))</f>
        <v/>
      </c>
      <c r="D26" s="135" t="str">
        <f>IFERROR(INDEX('Material Handling'!$C$10:$AH$33,MATCH(D$97,Material_Handling[Data],0),MATCH($Q26,'Material Handling'!$C$40:$AH$40,0)), IFERROR(INDEX('Drop Point'!$B$13:$M$36,MATCH(D$97,'Drop Point'!$B$13:$B$37,0),MATCH($Q26,'Drop Point'!$B$41:$M$41,0)),
IFERROR(INDEX('Control - Grain dscf'!$C$11:$N$27,MATCH(D$97,'Control - Grain dscf'!$B$11:$B$27,0),MATCH($Q26,'Control - Grain dscf'!$C$32:$N$32,0)),
IFERROR(INDEX('Control - Alt'!$C$9:$O$27,MATCH(D$97,'Control - Alt'!$B$9:$B$27,0),MATCH($Q26,'Control - Alt'!$C$32:$O$32,0)),
IFERROR(INDEX(Stockpile!$C$10:$M$26,MATCH(D$97,Stockpile!$B$10:$B$26,0),MATCH($Q26,Stockpile!$C$30:$M$30,0)),
IFERROR(INDEX('Asphalt Silo &amp; Unloading'!$D$10:$M$44,MATCH(D$97,'Asphalt Silo &amp; Unloading'!$B$10:$B$44,0),MATCH($Q26,'Asphalt Silo &amp; Unloading'!$D$49:$M$49,0)),""))))))</f>
        <v/>
      </c>
      <c r="E26" s="620" t="str">
        <f>IFERROR(INDEX('Material Handling'!$C$10:$AH$33,MATCH(E$97,Material_Handling[Data],0),MATCH($Q26,'Material Handling'!$C$40:$AH$40,0)), IFERROR(INDEX('Drop Point'!$B$13:$M$36,MATCH(E$97,'Drop Point'!$B$13:$B$37,0),MATCH($Q26,'Drop Point'!$B$41:$M$41,0)),
IFERROR(INDEX('Control - Grain dscf'!$C$11:$N$27,MATCH(E$97,'Control - Grain dscf'!$B$11:$B$27,0),MATCH($Q26,'Control - Grain dscf'!$C$32:$N$32,0)),
IFERROR(INDEX('Control - Alt'!$C$9:$O$27,MATCH(E$97,'Control - Alt'!$B$9:$B$27,0),MATCH($Q26,'Control - Alt'!$C$32:$O$32,0)),
IFERROR(INDEX(Stockpile!$C$10:$M$26,MATCH(E$97,Stockpile!$B$10:$B$26,0),MATCH($Q26,Stockpile!$C$30:$M$30,0)),
IFERROR(INDEX('Asphalt Silo &amp; Unloading'!$D$10:$M$44,MATCH(E$97,'Asphalt Silo &amp; Unloading'!$B$10:$B$44,0),MATCH($Q26,'Asphalt Silo &amp; Unloading'!$D$49:$M$49,0)),""))))))</f>
        <v/>
      </c>
      <c r="F26" s="590" t="str">
        <f>IFERROR(INDEX('Material Handling'!$C$10:$AH$33,MATCH(F$97,Material_Handling[Data],0),MATCH($Q26,'Material Handling'!$C$40:$AH$40,0)), IFERROR(INDEX('Drop Point'!$B$13:$M$36,MATCH(F$97,'Drop Point'!$B$13:$B$37,0),MATCH($Q26,'Drop Point'!$B$41:$M$41,0)),
IFERROR(INDEX('Control - Grain dscf'!$C$11:$N$27,MATCH(F$97,'Control - Grain dscf'!$B$11:$B$27,0),MATCH($Q26,'Control - Grain dscf'!$C$32:$N$32,0)),
IFERROR(INDEX('Control - Alt'!$C$9:$O$27,MATCH(F$97,'Control - Alt'!$B$9:$B$27,0),MATCH($Q26,'Control - Alt'!$C$32:$O$32,0)),
IFERROR(INDEX(Stockpile!$C$10:$M$26,MATCH(F$97,Stockpile!$B$10:$B$26,0),MATCH($Q26,Stockpile!$C$30:$M$30,0)),
IFERROR(INDEX('Asphalt Silo &amp; Unloading'!$D$10:$M$44,MATCH(F$97,'Asphalt Silo &amp; Unloading'!$B$10:$B$44,0),MATCH($Q26,'Asphalt Silo &amp; Unloading'!$D$49:$M$49,0)),""))))))</f>
        <v/>
      </c>
      <c r="G26" s="590" t="str">
        <f>IFERROR(INDEX('Material Handling'!$C$10:$AH$33,MATCH(G$97,Material_Handling[Data],0),MATCH($Q26,'Material Handling'!$C$40:$AH$40,0)), IFERROR(INDEX('Drop Point'!$B$13:$M$36,MATCH(G$97,'Drop Point'!$B$13:$B$37,0),MATCH($Q26,'Drop Point'!$B$41:$M$41,0)),
IFERROR(INDEX('Control - Grain dscf'!$C$11:$N$27,MATCH(G$97,'Control - Grain dscf'!$B$11:$B$27,0),MATCH($Q26,'Control - Grain dscf'!$C$32:$N$32,0)),
IFERROR(INDEX('Control - Alt'!$C$9:$O$27,MATCH(G$97,'Control - Alt'!$B$9:$B$27,0),MATCH($Q26,'Control - Alt'!$C$32:$O$32,0)),
IFERROR(INDEX(Stockpile!$C$10:$M$26,MATCH(G$97,Stockpile!$B$10:$B$26,0),MATCH($Q26,Stockpile!$C$30:$M$30,0)),
IFERROR(INDEX('Asphalt Silo &amp; Unloading'!$D$10:$M$44,MATCH(G$97,'Asphalt Silo &amp; Unloading'!$B$10:$B$44,0),MATCH($Q26,'Asphalt Silo &amp; Unloading'!$D$49:$M$49,0)),""))))))</f>
        <v/>
      </c>
      <c r="H26" s="590" t="str">
        <f>IFERROR(INDEX('Material Handling'!$C$10:$AH$33,MATCH(H$97,Material_Handling[Data],0),MATCH($Q26,'Material Handling'!$C$40:$AH$40,0)), IFERROR(INDEX('Drop Point'!$B$13:$M$36,MATCH(H$97,'Drop Point'!$B$13:$B$37,0),MATCH($Q26,'Drop Point'!$B$41:$M$41,0)),
IFERROR(INDEX('Control - Grain dscf'!$C$11:$N$27,MATCH(H$97,'Control - Grain dscf'!$B$11:$B$27,0),MATCH($Q26,'Control - Grain dscf'!$C$32:$N$32,0)),
IFERROR(INDEX('Control - Alt'!$C$9:$O$27,MATCH(H$97,'Control - Alt'!$B$9:$B$27,0),MATCH($Q26,'Control - Alt'!$C$32:$O$32,0)),
IFERROR(INDEX(Stockpile!$C$10:$M$26,MATCH(H$97,Stockpile!$B$10:$B$26,0),MATCH($Q26,Stockpile!$C$30:$M$30,0)),
IFERROR(INDEX('Asphalt Silo &amp; Unloading'!$D$10:$M$44,MATCH(H$97,'Asphalt Silo &amp; Unloading'!$B$10:$B$44,0),MATCH($Q26,'Asphalt Silo &amp; Unloading'!$D$49:$M$49,0)),""))))))</f>
        <v/>
      </c>
      <c r="I26" s="590" t="str">
        <f>IFERROR(INDEX('Material Handling'!$C$10:$AH$33,MATCH(I$97,Material_Handling[Data],0),MATCH($Q26,'Material Handling'!$C$40:$AH$40,0)), IFERROR(INDEX('Drop Point'!$B$13:$M$36,MATCH(I$97,'Drop Point'!$B$13:$B$37,0),MATCH($Q26,'Drop Point'!$B$41:$M$41,0)),
IFERROR(INDEX('Control - Grain dscf'!$C$11:$N$27,MATCH(I$97,'Control - Grain dscf'!$B$11:$B$27,0),MATCH($Q26,'Control - Grain dscf'!$C$32:$N$32,0)),
IFERROR(INDEX('Control - Alt'!$C$9:$O$27,MATCH(I$97,'Control - Alt'!$B$9:$B$27,0),MATCH($Q26,'Control - Alt'!$C$32:$O$32,0)),
IFERROR(INDEX(Stockpile!$C$10:$M$26,MATCH(I$97,Stockpile!$B$10:$B$26,0),MATCH($Q26,Stockpile!$C$30:$M$30,0)),
IFERROR(INDEX('Asphalt Silo &amp; Unloading'!$D$10:$M$44,MATCH(I$97,'Asphalt Silo &amp; Unloading'!$B$10:$B$44,0),MATCH($Q26,'Asphalt Silo &amp; Unloading'!$D$49:$M$49,0)),""))))))</f>
        <v/>
      </c>
      <c r="J26" s="590" t="str">
        <f>IFERROR(INDEX('Material Handling'!$C$10:$AH$33,MATCH(J$97,Material_Handling[Data],0),MATCH($Q26,'Material Handling'!$C$40:$AH$40,0)), IFERROR(INDEX('Drop Point'!$B$13:$M$36,MATCH(J$97,'Drop Point'!$B$13:$B$37,0),MATCH($Q26,'Drop Point'!$B$41:$M$41,0)),
IFERROR(INDEX('Control - Grain dscf'!$C$11:$N$27,MATCH(J$97,'Control - Grain dscf'!$B$11:$B$27,0),MATCH($Q26,'Control - Grain dscf'!$C$32:$N$32,0)),
IFERROR(INDEX('Control - Alt'!$C$9:$O$27,MATCH(J$97,'Control - Alt'!$B$9:$B$27,0),MATCH($Q26,'Control - Alt'!$C$32:$O$32,0)),
IFERROR(INDEX(Stockpile!$C$10:$M$26,MATCH(J$97,Stockpile!$B$10:$B$26,0),MATCH($Q26,Stockpile!$C$30:$M$30,0)),
IFERROR(INDEX('Asphalt Silo &amp; Unloading'!$D$10:$M$44,MATCH(J$97,'Asphalt Silo &amp; Unloading'!$B$10:$B$44,0),MATCH($Q26,'Asphalt Silo &amp; Unloading'!$D$49:$M$49,0)),""))))))</f>
        <v/>
      </c>
      <c r="K26" s="590" t="str">
        <f>IFERROR(INDEX('Material Handling'!$C$10:$AH$33,MATCH(K$97,Material_Handling[Data],0),MATCH($Q26,'Material Handling'!$C$40:$AH$40,0)), IFERROR(INDEX('Drop Point'!$B$13:$M$36,MATCH(K$97,'Drop Point'!$B$13:$B$37,0),MATCH($Q26,'Drop Point'!$B$41:$M$41,0)),
IFERROR(INDEX('Control - Grain dscf'!$C$11:$N$27,MATCH(K$97,'Control - Grain dscf'!$B$11:$B$27,0),MATCH($Q26,'Control - Grain dscf'!$C$32:$N$32,0)),
IFERROR(INDEX('Control - Alt'!$C$9:$O$27,MATCH(K$97,'Control - Alt'!$B$9:$B$27,0),MATCH($Q26,'Control - Alt'!$C$32:$O$32,0)),
IFERROR(INDEX(Stockpile!$C$10:$M$26,MATCH(K$97,Stockpile!$B$10:$B$26,0),MATCH($Q26,Stockpile!$C$30:$M$30,0)),
IFERROR(INDEX('Asphalt Silo &amp; Unloading'!$D$10:$M$44,MATCH(K$97,'Asphalt Silo &amp; Unloading'!$B$10:$B$44,0),MATCH($Q26,'Asphalt Silo &amp; Unloading'!$D$49:$M$49,0)),""))))))</f>
        <v/>
      </c>
      <c r="L26" s="590" t="str">
        <f>IFERROR(INDEX('Material Handling'!$C$10:$AH$33,MATCH(L$97,Material_Handling[Data],0),MATCH($Q26,'Material Handling'!$C$40:$AH$40,0)), IFERROR(INDEX('Drop Point'!$B$13:$M$36,MATCH(L$97,'Drop Point'!$B$13:$B$37,0),MATCH($Q26,'Drop Point'!$B$41:$M$41,0)),
IFERROR(INDEX('Control - Grain dscf'!$C$11:$N$27,MATCH(L$97,'Control - Grain dscf'!$B$11:$B$27,0),MATCH($Q26,'Control - Grain dscf'!$C$32:$N$32,0)),
IFERROR(INDEX('Control - Alt'!$C$9:$O$27,MATCH(L$97,'Control - Alt'!$B$9:$B$27,0),MATCH($Q26,'Control - Alt'!$C$32:$O$32,0)),
IFERROR(INDEX(Stockpile!$C$10:$M$26,MATCH(L$97,Stockpile!$B$10:$B$26,0),MATCH($Q26,Stockpile!$C$30:$M$30,0)),
IFERROR(INDEX('Asphalt Silo &amp; Unloading'!$D$10:$M$44,MATCH(L$97,'Asphalt Silo &amp; Unloading'!$B$10:$B$44,0),MATCH($Q26,'Asphalt Silo &amp; Unloading'!$D$49:$M$49,0)),""))))))</f>
        <v/>
      </c>
      <c r="M26" s="590" t="str">
        <f>IFERROR(INDEX('Material Handling'!$C$10:$AH$33,MATCH(M$97,Material_Handling[Data],0),MATCH($Q26,'Material Handling'!$C$40:$AH$40,0)), IFERROR(INDEX('Drop Point'!$B$13:$M$36,MATCH(M$97,'Drop Point'!$B$13:$B$37,0),MATCH($Q26,'Drop Point'!$B$41:$M$41,0)),
IFERROR(INDEX('Control - Grain dscf'!$C$11:$N$27,MATCH(M$97,'Control - Grain dscf'!$B$11:$B$27,0),MATCH($Q26,'Control - Grain dscf'!$C$32:$N$32,0)),
IFERROR(INDEX('Control - Alt'!$C$9:$O$27,MATCH(M$97,'Control - Alt'!$B$9:$B$27,0),MATCH($Q26,'Control - Alt'!$C$32:$O$32,0)),
IFERROR(INDEX(Stockpile!$C$10:$M$26,MATCH(M$97,Stockpile!$B$10:$B$26,0),MATCH($Q26,Stockpile!$C$30:$M$30,0)),
IFERROR(INDEX('Asphalt Silo &amp; Unloading'!$D$10:$M$44,MATCH(M$97,'Asphalt Silo &amp; Unloading'!$B$10:$B$44,0),MATCH($Q26,'Asphalt Silo &amp; Unloading'!$D$49:$M$49,0)),""))))))</f>
        <v/>
      </c>
      <c r="N26" s="590" t="str">
        <f>IFERROR(INDEX('Material Handling'!$C$10:$AH$33,MATCH(N$97,Material_Handling[Data],0),MATCH($Q26,'Material Handling'!$C$40:$AH$40,0)), IFERROR(INDEX('Drop Point'!$B$13:$M$36,MATCH(N$97,'Drop Point'!$B$13:$B$37,0),MATCH($Q26,'Drop Point'!$B$41:$M$41,0)),
IFERROR(INDEX('Control - Grain dscf'!$C$11:$N$27,MATCH(N$97,'Control - Grain dscf'!$B$11:$B$27,0),MATCH($Q26,'Control - Grain dscf'!$C$32:$N$32,0)),
IFERROR(INDEX('Control - Alt'!$C$9:$O$27,MATCH(N$97,'Control - Alt'!$B$9:$B$27,0),MATCH($Q26,'Control - Alt'!$C$32:$O$32,0)),
IFERROR(INDEX(Stockpile!$C$10:$M$26,MATCH(N$97,Stockpile!$B$10:$B$26,0),MATCH($Q26,Stockpile!$C$30:$M$30,0)),
IFERROR(INDEX('Asphalt Silo &amp; Unloading'!$D$10:$M$44,MATCH(N$97,'Asphalt Silo &amp; Unloading'!$B$10:$B$44,0),MATCH($Q26,'Asphalt Silo &amp; Unloading'!$D$49:$M$49,0)),""))))))</f>
        <v/>
      </c>
      <c r="O26" s="591" t="str">
        <f>IFERROR(INDEX('Material Handling'!$C$10:$AH$33,MATCH(O$97,Material_Handling[Data],0),MATCH($Q26,'Material Handling'!$C$40:$AH$40,0)), IFERROR(INDEX('Drop Point'!$B$13:$M$36,MATCH(O$97,'Drop Point'!$B$13:$B$37,0),MATCH($Q26,'Drop Point'!$B$41:$M$41,0)),
IFERROR(INDEX('Control - Grain dscf'!$C$11:$N$27,MATCH(O$97,'Control - Grain dscf'!$B$11:$B$27,0),MATCH($Q26,'Control - Grain dscf'!$C$32:$N$32,0)),
IFERROR(INDEX('Control - Alt'!$C$9:$O$27,MATCH(O$97,'Control - Alt'!$B$9:$B$27,0),MATCH($Q26,'Control - Alt'!$C$32:$O$32,0)),
IFERROR(INDEX(Stockpile!$C$10:$M$26,MATCH(O$97,Stockpile!$B$10:$B$26,0),MATCH($Q26,Stockpile!$C$30:$M$30,0)),
IFERROR(INDEX('Asphalt Silo &amp; Unloading'!$D$10:$M$44,MATCH(O$97,'Asphalt Silo &amp; Unloading'!$B$10:$B$44,0),MATCH($Q26,'Asphalt Silo &amp; Unloading'!$D$49:$M$49,0)),""))))))</f>
        <v/>
      </c>
      <c r="Q26" s="131">
        <f t="shared" si="0"/>
        <v>18</v>
      </c>
    </row>
    <row r="27" spans="1:17" ht="20.100000000000001" customHeight="1">
      <c r="A27" s="293" t="str">
        <f>IFERROR(INDEX('Material Handling'!$C$10:$AH$33,MATCH(A$97,Material_Handling[Data],0),MATCH($Q27,'Material Handling'!$C$40:$AH$40,0)), IFERROR(INDEX('Drop Point'!$B$13:$M$36,MATCH(A$97,'Drop Point'!$B$13:$B$37,0),MATCH($Q27,'Drop Point'!$B$41:$M$41,0)),
IFERROR(INDEX('Control - Grain dscf'!$C$11:$N$27,MATCH(A$97,'Control - Grain dscf'!$B$11:$B$27,0),MATCH($Q27,'Control - Grain dscf'!$C$32:$N$32,0)),
IFERROR(INDEX('Control - Alt'!$C$9:$O$27,MATCH(A$97,'Control - Alt'!$B$9:$B$27,0),MATCH($Q27,'Control - Alt'!$C$32:$O$32,0)),
IFERROR(INDEX(Stockpile!$C$10:$M$26,MATCH(A$97,Stockpile!$B$10:$B$26,0),MATCH($Q27,Stockpile!$C$30:$M$30,0)),
IFERROR(INDEX('Asphalt Silo &amp; Unloading'!$D$10:$M$44,MATCH(A$97,'Asphalt Silo &amp; Unloading'!$B$10:$B$44,0),MATCH($Q27,'Asphalt Silo &amp; Unloading'!$D$49:$M$49,0)),""))))))</f>
        <v/>
      </c>
      <c r="B27" s="135" t="str">
        <f>IFERROR(INDEX('Material Handling'!$C$10:$AH$33,MATCH(B$97,Material_Handling[Data],0),MATCH($Q27,'Material Handling'!$C$40:$AH$40,0)), IFERROR(INDEX('Drop Point'!$B$13:$M$36,MATCH(B$97,'Drop Point'!$B$13:$B$37,0),MATCH($Q27,'Drop Point'!$B$41:$M$41,0)),
IFERROR(INDEX('Control - Grain dscf'!$C$11:$N$27,MATCH(B$97,'Control - Grain dscf'!$B$11:$B$27,0),MATCH($Q27,'Control - Grain dscf'!$C$32:$N$32,0)),
IFERROR(INDEX('Control - Alt'!$C$9:$O$27,MATCH(B$97,'Control - Alt'!$B$9:$B$27,0),MATCH($Q27,'Control - Alt'!$C$32:$O$32,0)),
IFERROR(INDEX(Stockpile!$C$10:$M$26,MATCH(B$97,Stockpile!$B$10:$B$26,0),MATCH($Q27,Stockpile!$C$30:$M$30,0)),
IFERROR(INDEX('Asphalt Silo &amp; Unloading'!$D$10:$M$44,MATCH(B$97,'Asphalt Silo &amp; Unloading'!$B$10:$B$44,0),MATCH($Q27,'Asphalt Silo &amp; Unloading'!$D$49:$M$49,0)),""))))))</f>
        <v/>
      </c>
      <c r="C27" s="135" t="str">
        <f>IFERROR(INDEX('Material Handling'!$C$10:$AH$33,MATCH(C$97,Material_Handling[Data],0),MATCH($Q27,'Material Handling'!$C$40:$AH$40,0)), IFERROR(INDEX('Drop Point'!$B$13:$M$36,MATCH(C$97,'Drop Point'!$B$13:$B$37,0),MATCH($Q27,'Drop Point'!$B$41:$M$41,0)),
IFERROR(INDEX('Control - Grain dscf'!$C$11:$N$27,MATCH(C$97,'Control - Grain dscf'!$B$11:$B$27,0),MATCH($Q27,'Control - Grain dscf'!$C$32:$N$32,0)),
IFERROR(INDEX('Control - Alt'!$C$9:$O$27,MATCH(C$97,'Control - Alt'!$B$9:$B$27,0),MATCH($Q27,'Control - Alt'!$C$32:$O$32,0)),
IFERROR(INDEX(Stockpile!$C$10:$M$26,MATCH(C$97,Stockpile!$B$10:$B$26,0),MATCH($Q27,Stockpile!$C$30:$M$30,0)),
IFERROR(INDEX('Asphalt Silo &amp; Unloading'!$D$10:$M$44,MATCH(C$97,'Asphalt Silo &amp; Unloading'!$B$10:$B$44,0),MATCH($Q27,'Asphalt Silo &amp; Unloading'!$D$49:$M$49,0)),""))))))</f>
        <v/>
      </c>
      <c r="D27" s="135" t="str">
        <f>IFERROR(INDEX('Material Handling'!$C$10:$AH$33,MATCH(D$97,Material_Handling[Data],0),MATCH($Q27,'Material Handling'!$C$40:$AH$40,0)), IFERROR(INDEX('Drop Point'!$B$13:$M$36,MATCH(D$97,'Drop Point'!$B$13:$B$37,0),MATCH($Q27,'Drop Point'!$B$41:$M$41,0)),
IFERROR(INDEX('Control - Grain dscf'!$C$11:$N$27,MATCH(D$97,'Control - Grain dscf'!$B$11:$B$27,0),MATCH($Q27,'Control - Grain dscf'!$C$32:$N$32,0)),
IFERROR(INDEX('Control - Alt'!$C$9:$O$27,MATCH(D$97,'Control - Alt'!$B$9:$B$27,0),MATCH($Q27,'Control - Alt'!$C$32:$O$32,0)),
IFERROR(INDEX(Stockpile!$C$10:$M$26,MATCH(D$97,Stockpile!$B$10:$B$26,0),MATCH($Q27,Stockpile!$C$30:$M$30,0)),
IFERROR(INDEX('Asphalt Silo &amp; Unloading'!$D$10:$M$44,MATCH(D$97,'Asphalt Silo &amp; Unloading'!$B$10:$B$44,0),MATCH($Q27,'Asphalt Silo &amp; Unloading'!$D$49:$M$49,0)),""))))))</f>
        <v/>
      </c>
      <c r="E27" s="620" t="str">
        <f>IFERROR(INDEX('Material Handling'!$C$10:$AH$33,MATCH(E$97,Material_Handling[Data],0),MATCH($Q27,'Material Handling'!$C$40:$AH$40,0)), IFERROR(INDEX('Drop Point'!$B$13:$M$36,MATCH(E$97,'Drop Point'!$B$13:$B$37,0),MATCH($Q27,'Drop Point'!$B$41:$M$41,0)),
IFERROR(INDEX('Control - Grain dscf'!$C$11:$N$27,MATCH(E$97,'Control - Grain dscf'!$B$11:$B$27,0),MATCH($Q27,'Control - Grain dscf'!$C$32:$N$32,0)),
IFERROR(INDEX('Control - Alt'!$C$9:$O$27,MATCH(E$97,'Control - Alt'!$B$9:$B$27,0),MATCH($Q27,'Control - Alt'!$C$32:$O$32,0)),
IFERROR(INDEX(Stockpile!$C$10:$M$26,MATCH(E$97,Stockpile!$B$10:$B$26,0),MATCH($Q27,Stockpile!$C$30:$M$30,0)),
IFERROR(INDEX('Asphalt Silo &amp; Unloading'!$D$10:$M$44,MATCH(E$97,'Asphalt Silo &amp; Unloading'!$B$10:$B$44,0),MATCH($Q27,'Asphalt Silo &amp; Unloading'!$D$49:$M$49,0)),""))))))</f>
        <v/>
      </c>
      <c r="F27" s="590" t="str">
        <f>IFERROR(INDEX('Material Handling'!$C$10:$AH$33,MATCH(F$97,Material_Handling[Data],0),MATCH($Q27,'Material Handling'!$C$40:$AH$40,0)), IFERROR(INDEX('Drop Point'!$B$13:$M$36,MATCH(F$97,'Drop Point'!$B$13:$B$37,0),MATCH($Q27,'Drop Point'!$B$41:$M$41,0)),
IFERROR(INDEX('Control - Grain dscf'!$C$11:$N$27,MATCH(F$97,'Control - Grain dscf'!$B$11:$B$27,0),MATCH($Q27,'Control - Grain dscf'!$C$32:$N$32,0)),
IFERROR(INDEX('Control - Alt'!$C$9:$O$27,MATCH(F$97,'Control - Alt'!$B$9:$B$27,0),MATCH($Q27,'Control - Alt'!$C$32:$O$32,0)),
IFERROR(INDEX(Stockpile!$C$10:$M$26,MATCH(F$97,Stockpile!$B$10:$B$26,0),MATCH($Q27,Stockpile!$C$30:$M$30,0)),
IFERROR(INDEX('Asphalt Silo &amp; Unloading'!$D$10:$M$44,MATCH(F$97,'Asphalt Silo &amp; Unloading'!$B$10:$B$44,0),MATCH($Q27,'Asphalt Silo &amp; Unloading'!$D$49:$M$49,0)),""))))))</f>
        <v/>
      </c>
      <c r="G27" s="590" t="str">
        <f>IFERROR(INDEX('Material Handling'!$C$10:$AH$33,MATCH(G$97,Material_Handling[Data],0),MATCH($Q27,'Material Handling'!$C$40:$AH$40,0)), IFERROR(INDEX('Drop Point'!$B$13:$M$36,MATCH(G$97,'Drop Point'!$B$13:$B$37,0),MATCH($Q27,'Drop Point'!$B$41:$M$41,0)),
IFERROR(INDEX('Control - Grain dscf'!$C$11:$N$27,MATCH(G$97,'Control - Grain dscf'!$B$11:$B$27,0),MATCH($Q27,'Control - Grain dscf'!$C$32:$N$32,0)),
IFERROR(INDEX('Control - Alt'!$C$9:$O$27,MATCH(G$97,'Control - Alt'!$B$9:$B$27,0),MATCH($Q27,'Control - Alt'!$C$32:$O$32,0)),
IFERROR(INDEX(Stockpile!$C$10:$M$26,MATCH(G$97,Stockpile!$B$10:$B$26,0),MATCH($Q27,Stockpile!$C$30:$M$30,0)),
IFERROR(INDEX('Asphalt Silo &amp; Unloading'!$D$10:$M$44,MATCH(G$97,'Asphalt Silo &amp; Unloading'!$B$10:$B$44,0),MATCH($Q27,'Asphalt Silo &amp; Unloading'!$D$49:$M$49,0)),""))))))</f>
        <v/>
      </c>
      <c r="H27" s="590" t="str">
        <f>IFERROR(INDEX('Material Handling'!$C$10:$AH$33,MATCH(H$97,Material_Handling[Data],0),MATCH($Q27,'Material Handling'!$C$40:$AH$40,0)), IFERROR(INDEX('Drop Point'!$B$13:$M$36,MATCH(H$97,'Drop Point'!$B$13:$B$37,0),MATCH($Q27,'Drop Point'!$B$41:$M$41,0)),
IFERROR(INDEX('Control - Grain dscf'!$C$11:$N$27,MATCH(H$97,'Control - Grain dscf'!$B$11:$B$27,0),MATCH($Q27,'Control - Grain dscf'!$C$32:$N$32,0)),
IFERROR(INDEX('Control - Alt'!$C$9:$O$27,MATCH(H$97,'Control - Alt'!$B$9:$B$27,0),MATCH($Q27,'Control - Alt'!$C$32:$O$32,0)),
IFERROR(INDEX(Stockpile!$C$10:$M$26,MATCH(H$97,Stockpile!$B$10:$B$26,0),MATCH($Q27,Stockpile!$C$30:$M$30,0)),
IFERROR(INDEX('Asphalt Silo &amp; Unloading'!$D$10:$M$44,MATCH(H$97,'Asphalt Silo &amp; Unloading'!$B$10:$B$44,0),MATCH($Q27,'Asphalt Silo &amp; Unloading'!$D$49:$M$49,0)),""))))))</f>
        <v/>
      </c>
      <c r="I27" s="590" t="str">
        <f>IFERROR(INDEX('Material Handling'!$C$10:$AH$33,MATCH(I$97,Material_Handling[Data],0),MATCH($Q27,'Material Handling'!$C$40:$AH$40,0)), IFERROR(INDEX('Drop Point'!$B$13:$M$36,MATCH(I$97,'Drop Point'!$B$13:$B$37,0),MATCH($Q27,'Drop Point'!$B$41:$M$41,0)),
IFERROR(INDEX('Control - Grain dscf'!$C$11:$N$27,MATCH(I$97,'Control - Grain dscf'!$B$11:$B$27,0),MATCH($Q27,'Control - Grain dscf'!$C$32:$N$32,0)),
IFERROR(INDEX('Control - Alt'!$C$9:$O$27,MATCH(I$97,'Control - Alt'!$B$9:$B$27,0),MATCH($Q27,'Control - Alt'!$C$32:$O$32,0)),
IFERROR(INDEX(Stockpile!$C$10:$M$26,MATCH(I$97,Stockpile!$B$10:$B$26,0),MATCH($Q27,Stockpile!$C$30:$M$30,0)),
IFERROR(INDEX('Asphalt Silo &amp; Unloading'!$D$10:$M$44,MATCH(I$97,'Asphalt Silo &amp; Unloading'!$B$10:$B$44,0),MATCH($Q27,'Asphalt Silo &amp; Unloading'!$D$49:$M$49,0)),""))))))</f>
        <v/>
      </c>
      <c r="J27" s="590" t="str">
        <f>IFERROR(INDEX('Material Handling'!$C$10:$AH$33,MATCH(J$97,Material_Handling[Data],0),MATCH($Q27,'Material Handling'!$C$40:$AH$40,0)), IFERROR(INDEX('Drop Point'!$B$13:$M$36,MATCH(J$97,'Drop Point'!$B$13:$B$37,0),MATCH($Q27,'Drop Point'!$B$41:$M$41,0)),
IFERROR(INDEX('Control - Grain dscf'!$C$11:$N$27,MATCH(J$97,'Control - Grain dscf'!$B$11:$B$27,0),MATCH($Q27,'Control - Grain dscf'!$C$32:$N$32,0)),
IFERROR(INDEX('Control - Alt'!$C$9:$O$27,MATCH(J$97,'Control - Alt'!$B$9:$B$27,0),MATCH($Q27,'Control - Alt'!$C$32:$O$32,0)),
IFERROR(INDEX(Stockpile!$C$10:$M$26,MATCH(J$97,Stockpile!$B$10:$B$26,0),MATCH($Q27,Stockpile!$C$30:$M$30,0)),
IFERROR(INDEX('Asphalt Silo &amp; Unloading'!$D$10:$M$44,MATCH(J$97,'Asphalt Silo &amp; Unloading'!$B$10:$B$44,0),MATCH($Q27,'Asphalt Silo &amp; Unloading'!$D$49:$M$49,0)),""))))))</f>
        <v/>
      </c>
      <c r="K27" s="590" t="str">
        <f>IFERROR(INDEX('Material Handling'!$C$10:$AH$33,MATCH(K$97,Material_Handling[Data],0),MATCH($Q27,'Material Handling'!$C$40:$AH$40,0)), IFERROR(INDEX('Drop Point'!$B$13:$M$36,MATCH(K$97,'Drop Point'!$B$13:$B$37,0),MATCH($Q27,'Drop Point'!$B$41:$M$41,0)),
IFERROR(INDEX('Control - Grain dscf'!$C$11:$N$27,MATCH(K$97,'Control - Grain dscf'!$B$11:$B$27,0),MATCH($Q27,'Control - Grain dscf'!$C$32:$N$32,0)),
IFERROR(INDEX('Control - Alt'!$C$9:$O$27,MATCH(K$97,'Control - Alt'!$B$9:$B$27,0),MATCH($Q27,'Control - Alt'!$C$32:$O$32,0)),
IFERROR(INDEX(Stockpile!$C$10:$M$26,MATCH(K$97,Stockpile!$B$10:$B$26,0),MATCH($Q27,Stockpile!$C$30:$M$30,0)),
IFERROR(INDEX('Asphalt Silo &amp; Unloading'!$D$10:$M$44,MATCH(K$97,'Asphalt Silo &amp; Unloading'!$B$10:$B$44,0),MATCH($Q27,'Asphalt Silo &amp; Unloading'!$D$49:$M$49,0)),""))))))</f>
        <v/>
      </c>
      <c r="L27" s="590" t="str">
        <f>IFERROR(INDEX('Material Handling'!$C$10:$AH$33,MATCH(L$97,Material_Handling[Data],0),MATCH($Q27,'Material Handling'!$C$40:$AH$40,0)), IFERROR(INDEX('Drop Point'!$B$13:$M$36,MATCH(L$97,'Drop Point'!$B$13:$B$37,0),MATCH($Q27,'Drop Point'!$B$41:$M$41,0)),
IFERROR(INDEX('Control - Grain dscf'!$C$11:$N$27,MATCH(L$97,'Control - Grain dscf'!$B$11:$B$27,0),MATCH($Q27,'Control - Grain dscf'!$C$32:$N$32,0)),
IFERROR(INDEX('Control - Alt'!$C$9:$O$27,MATCH(L$97,'Control - Alt'!$B$9:$B$27,0),MATCH($Q27,'Control - Alt'!$C$32:$O$32,0)),
IFERROR(INDEX(Stockpile!$C$10:$M$26,MATCH(L$97,Stockpile!$B$10:$B$26,0),MATCH($Q27,Stockpile!$C$30:$M$30,0)),
IFERROR(INDEX('Asphalt Silo &amp; Unloading'!$D$10:$M$44,MATCH(L$97,'Asphalt Silo &amp; Unloading'!$B$10:$B$44,0),MATCH($Q27,'Asphalt Silo &amp; Unloading'!$D$49:$M$49,0)),""))))))</f>
        <v/>
      </c>
      <c r="M27" s="590" t="str">
        <f>IFERROR(INDEX('Material Handling'!$C$10:$AH$33,MATCH(M$97,Material_Handling[Data],0),MATCH($Q27,'Material Handling'!$C$40:$AH$40,0)), IFERROR(INDEX('Drop Point'!$B$13:$M$36,MATCH(M$97,'Drop Point'!$B$13:$B$37,0),MATCH($Q27,'Drop Point'!$B$41:$M$41,0)),
IFERROR(INDEX('Control - Grain dscf'!$C$11:$N$27,MATCH(M$97,'Control - Grain dscf'!$B$11:$B$27,0),MATCH($Q27,'Control - Grain dscf'!$C$32:$N$32,0)),
IFERROR(INDEX('Control - Alt'!$C$9:$O$27,MATCH(M$97,'Control - Alt'!$B$9:$B$27,0),MATCH($Q27,'Control - Alt'!$C$32:$O$32,0)),
IFERROR(INDEX(Stockpile!$C$10:$M$26,MATCH(M$97,Stockpile!$B$10:$B$26,0),MATCH($Q27,Stockpile!$C$30:$M$30,0)),
IFERROR(INDEX('Asphalt Silo &amp; Unloading'!$D$10:$M$44,MATCH(M$97,'Asphalt Silo &amp; Unloading'!$B$10:$B$44,0),MATCH($Q27,'Asphalt Silo &amp; Unloading'!$D$49:$M$49,0)),""))))))</f>
        <v/>
      </c>
      <c r="N27" s="590" t="str">
        <f>IFERROR(INDEX('Material Handling'!$C$10:$AH$33,MATCH(N$97,Material_Handling[Data],0),MATCH($Q27,'Material Handling'!$C$40:$AH$40,0)), IFERROR(INDEX('Drop Point'!$B$13:$M$36,MATCH(N$97,'Drop Point'!$B$13:$B$37,0),MATCH($Q27,'Drop Point'!$B$41:$M$41,0)),
IFERROR(INDEX('Control - Grain dscf'!$C$11:$N$27,MATCH(N$97,'Control - Grain dscf'!$B$11:$B$27,0),MATCH($Q27,'Control - Grain dscf'!$C$32:$N$32,0)),
IFERROR(INDEX('Control - Alt'!$C$9:$O$27,MATCH(N$97,'Control - Alt'!$B$9:$B$27,0),MATCH($Q27,'Control - Alt'!$C$32:$O$32,0)),
IFERROR(INDEX(Stockpile!$C$10:$M$26,MATCH(N$97,Stockpile!$B$10:$B$26,0),MATCH($Q27,Stockpile!$C$30:$M$30,0)),
IFERROR(INDEX('Asphalt Silo &amp; Unloading'!$D$10:$M$44,MATCH(N$97,'Asphalt Silo &amp; Unloading'!$B$10:$B$44,0),MATCH($Q27,'Asphalt Silo &amp; Unloading'!$D$49:$M$49,0)),""))))))</f>
        <v/>
      </c>
      <c r="O27" s="591" t="str">
        <f>IFERROR(INDEX('Material Handling'!$C$10:$AH$33,MATCH(O$97,Material_Handling[Data],0),MATCH($Q27,'Material Handling'!$C$40:$AH$40,0)), IFERROR(INDEX('Drop Point'!$B$13:$M$36,MATCH(O$97,'Drop Point'!$B$13:$B$37,0),MATCH($Q27,'Drop Point'!$B$41:$M$41,0)),
IFERROR(INDEX('Control - Grain dscf'!$C$11:$N$27,MATCH(O$97,'Control - Grain dscf'!$B$11:$B$27,0),MATCH($Q27,'Control - Grain dscf'!$C$32:$N$32,0)),
IFERROR(INDEX('Control - Alt'!$C$9:$O$27,MATCH(O$97,'Control - Alt'!$B$9:$B$27,0),MATCH($Q27,'Control - Alt'!$C$32:$O$32,0)),
IFERROR(INDEX(Stockpile!$C$10:$M$26,MATCH(O$97,Stockpile!$B$10:$B$26,0),MATCH($Q27,Stockpile!$C$30:$M$30,0)),
IFERROR(INDEX('Asphalt Silo &amp; Unloading'!$D$10:$M$44,MATCH(O$97,'Asphalt Silo &amp; Unloading'!$B$10:$B$44,0),MATCH($Q27,'Asphalt Silo &amp; Unloading'!$D$49:$M$49,0)),""))))))</f>
        <v/>
      </c>
      <c r="Q27" s="131">
        <f t="shared" si="0"/>
        <v>19</v>
      </c>
    </row>
    <row r="28" spans="1:17" ht="20.100000000000001" customHeight="1">
      <c r="A28" s="293" t="str">
        <f>IFERROR(INDEX('Material Handling'!$C$10:$AH$33,MATCH(A$97,Material_Handling[Data],0),MATCH($Q28,'Material Handling'!$C$40:$AH$40,0)), IFERROR(INDEX('Drop Point'!$B$13:$M$36,MATCH(A$97,'Drop Point'!$B$13:$B$37,0),MATCH($Q28,'Drop Point'!$B$41:$M$41,0)),
IFERROR(INDEX('Control - Grain dscf'!$C$11:$N$27,MATCH(A$97,'Control - Grain dscf'!$B$11:$B$27,0),MATCH($Q28,'Control - Grain dscf'!$C$32:$N$32,0)),
IFERROR(INDEX('Control - Alt'!$C$9:$O$27,MATCH(A$97,'Control - Alt'!$B$9:$B$27,0),MATCH($Q28,'Control - Alt'!$C$32:$O$32,0)),
IFERROR(INDEX(Stockpile!$C$10:$M$26,MATCH(A$97,Stockpile!$B$10:$B$26,0),MATCH($Q28,Stockpile!$C$30:$M$30,0)),
IFERROR(INDEX('Asphalt Silo &amp; Unloading'!$D$10:$M$44,MATCH(A$97,'Asphalt Silo &amp; Unloading'!$B$10:$B$44,0),MATCH($Q28,'Asphalt Silo &amp; Unloading'!$D$49:$M$49,0)),""))))))</f>
        <v/>
      </c>
      <c r="B28" s="135" t="str">
        <f>IFERROR(INDEX('Material Handling'!$C$10:$AH$33,MATCH(B$97,Material_Handling[Data],0),MATCH($Q28,'Material Handling'!$C$40:$AH$40,0)), IFERROR(INDEX('Drop Point'!$B$13:$M$36,MATCH(B$97,'Drop Point'!$B$13:$B$37,0),MATCH($Q28,'Drop Point'!$B$41:$M$41,0)),
IFERROR(INDEX('Control - Grain dscf'!$C$11:$N$27,MATCH(B$97,'Control - Grain dscf'!$B$11:$B$27,0),MATCH($Q28,'Control - Grain dscf'!$C$32:$N$32,0)),
IFERROR(INDEX('Control - Alt'!$C$9:$O$27,MATCH(B$97,'Control - Alt'!$B$9:$B$27,0),MATCH($Q28,'Control - Alt'!$C$32:$O$32,0)),
IFERROR(INDEX(Stockpile!$C$10:$M$26,MATCH(B$97,Stockpile!$B$10:$B$26,0),MATCH($Q28,Stockpile!$C$30:$M$30,0)),
IFERROR(INDEX('Asphalt Silo &amp; Unloading'!$D$10:$M$44,MATCH(B$97,'Asphalt Silo &amp; Unloading'!$B$10:$B$44,0),MATCH($Q28,'Asphalt Silo &amp; Unloading'!$D$49:$M$49,0)),""))))))</f>
        <v/>
      </c>
      <c r="C28" s="135" t="str">
        <f>IFERROR(INDEX('Material Handling'!$C$10:$AH$33,MATCH(C$97,Material_Handling[Data],0),MATCH($Q28,'Material Handling'!$C$40:$AH$40,0)), IFERROR(INDEX('Drop Point'!$B$13:$M$36,MATCH(C$97,'Drop Point'!$B$13:$B$37,0),MATCH($Q28,'Drop Point'!$B$41:$M$41,0)),
IFERROR(INDEX('Control - Grain dscf'!$C$11:$N$27,MATCH(C$97,'Control - Grain dscf'!$B$11:$B$27,0),MATCH($Q28,'Control - Grain dscf'!$C$32:$N$32,0)),
IFERROR(INDEX('Control - Alt'!$C$9:$O$27,MATCH(C$97,'Control - Alt'!$B$9:$B$27,0),MATCH($Q28,'Control - Alt'!$C$32:$O$32,0)),
IFERROR(INDEX(Stockpile!$C$10:$M$26,MATCH(C$97,Stockpile!$B$10:$B$26,0),MATCH($Q28,Stockpile!$C$30:$M$30,0)),
IFERROR(INDEX('Asphalt Silo &amp; Unloading'!$D$10:$M$44,MATCH(C$97,'Asphalt Silo &amp; Unloading'!$B$10:$B$44,0),MATCH($Q28,'Asphalt Silo &amp; Unloading'!$D$49:$M$49,0)),""))))))</f>
        <v/>
      </c>
      <c r="D28" s="135" t="str">
        <f>IFERROR(INDEX('Material Handling'!$C$10:$AH$33,MATCH(D$97,Material_Handling[Data],0),MATCH($Q28,'Material Handling'!$C$40:$AH$40,0)), IFERROR(INDEX('Drop Point'!$B$13:$M$36,MATCH(D$97,'Drop Point'!$B$13:$B$37,0),MATCH($Q28,'Drop Point'!$B$41:$M$41,0)),
IFERROR(INDEX('Control - Grain dscf'!$C$11:$N$27,MATCH(D$97,'Control - Grain dscf'!$B$11:$B$27,0),MATCH($Q28,'Control - Grain dscf'!$C$32:$N$32,0)),
IFERROR(INDEX('Control - Alt'!$C$9:$O$27,MATCH(D$97,'Control - Alt'!$B$9:$B$27,0),MATCH($Q28,'Control - Alt'!$C$32:$O$32,0)),
IFERROR(INDEX(Stockpile!$C$10:$M$26,MATCH(D$97,Stockpile!$B$10:$B$26,0),MATCH($Q28,Stockpile!$C$30:$M$30,0)),
IFERROR(INDEX('Asphalt Silo &amp; Unloading'!$D$10:$M$44,MATCH(D$97,'Asphalt Silo &amp; Unloading'!$B$10:$B$44,0),MATCH($Q28,'Asphalt Silo &amp; Unloading'!$D$49:$M$49,0)),""))))))</f>
        <v/>
      </c>
      <c r="E28" s="620" t="str">
        <f>IFERROR(INDEX('Material Handling'!$C$10:$AH$33,MATCH(E$97,Material_Handling[Data],0),MATCH($Q28,'Material Handling'!$C$40:$AH$40,0)), IFERROR(INDEX('Drop Point'!$B$13:$M$36,MATCH(E$97,'Drop Point'!$B$13:$B$37,0),MATCH($Q28,'Drop Point'!$B$41:$M$41,0)),
IFERROR(INDEX('Control - Grain dscf'!$C$11:$N$27,MATCH(E$97,'Control - Grain dscf'!$B$11:$B$27,0),MATCH($Q28,'Control - Grain dscf'!$C$32:$N$32,0)),
IFERROR(INDEX('Control - Alt'!$C$9:$O$27,MATCH(E$97,'Control - Alt'!$B$9:$B$27,0),MATCH($Q28,'Control - Alt'!$C$32:$O$32,0)),
IFERROR(INDEX(Stockpile!$C$10:$M$26,MATCH(E$97,Stockpile!$B$10:$B$26,0),MATCH($Q28,Stockpile!$C$30:$M$30,0)),
IFERROR(INDEX('Asphalt Silo &amp; Unloading'!$D$10:$M$44,MATCH(E$97,'Asphalt Silo &amp; Unloading'!$B$10:$B$44,0),MATCH($Q28,'Asphalt Silo &amp; Unloading'!$D$49:$M$49,0)),""))))))</f>
        <v/>
      </c>
      <c r="F28" s="590" t="str">
        <f>IFERROR(INDEX('Material Handling'!$C$10:$AH$33,MATCH(F$97,Material_Handling[Data],0),MATCH($Q28,'Material Handling'!$C$40:$AH$40,0)), IFERROR(INDEX('Drop Point'!$B$13:$M$36,MATCH(F$97,'Drop Point'!$B$13:$B$37,0),MATCH($Q28,'Drop Point'!$B$41:$M$41,0)),
IFERROR(INDEX('Control - Grain dscf'!$C$11:$N$27,MATCH(F$97,'Control - Grain dscf'!$B$11:$B$27,0),MATCH($Q28,'Control - Grain dscf'!$C$32:$N$32,0)),
IFERROR(INDEX('Control - Alt'!$C$9:$O$27,MATCH(F$97,'Control - Alt'!$B$9:$B$27,0),MATCH($Q28,'Control - Alt'!$C$32:$O$32,0)),
IFERROR(INDEX(Stockpile!$C$10:$M$26,MATCH(F$97,Stockpile!$B$10:$B$26,0),MATCH($Q28,Stockpile!$C$30:$M$30,0)),
IFERROR(INDEX('Asphalt Silo &amp; Unloading'!$D$10:$M$44,MATCH(F$97,'Asphalt Silo &amp; Unloading'!$B$10:$B$44,0),MATCH($Q28,'Asphalt Silo &amp; Unloading'!$D$49:$M$49,0)),""))))))</f>
        <v/>
      </c>
      <c r="G28" s="590" t="str">
        <f>IFERROR(INDEX('Material Handling'!$C$10:$AH$33,MATCH(G$97,Material_Handling[Data],0),MATCH($Q28,'Material Handling'!$C$40:$AH$40,0)), IFERROR(INDEX('Drop Point'!$B$13:$M$36,MATCH(G$97,'Drop Point'!$B$13:$B$37,0),MATCH($Q28,'Drop Point'!$B$41:$M$41,0)),
IFERROR(INDEX('Control - Grain dscf'!$C$11:$N$27,MATCH(G$97,'Control - Grain dscf'!$B$11:$B$27,0),MATCH($Q28,'Control - Grain dscf'!$C$32:$N$32,0)),
IFERROR(INDEX('Control - Alt'!$C$9:$O$27,MATCH(G$97,'Control - Alt'!$B$9:$B$27,0),MATCH($Q28,'Control - Alt'!$C$32:$O$32,0)),
IFERROR(INDEX(Stockpile!$C$10:$M$26,MATCH(G$97,Stockpile!$B$10:$B$26,0),MATCH($Q28,Stockpile!$C$30:$M$30,0)),
IFERROR(INDEX('Asphalt Silo &amp; Unloading'!$D$10:$M$44,MATCH(G$97,'Asphalt Silo &amp; Unloading'!$B$10:$B$44,0),MATCH($Q28,'Asphalt Silo &amp; Unloading'!$D$49:$M$49,0)),""))))))</f>
        <v/>
      </c>
      <c r="H28" s="590" t="str">
        <f>IFERROR(INDEX('Material Handling'!$C$10:$AH$33,MATCH(H$97,Material_Handling[Data],0),MATCH($Q28,'Material Handling'!$C$40:$AH$40,0)), IFERROR(INDEX('Drop Point'!$B$13:$M$36,MATCH(H$97,'Drop Point'!$B$13:$B$37,0),MATCH($Q28,'Drop Point'!$B$41:$M$41,0)),
IFERROR(INDEX('Control - Grain dscf'!$C$11:$N$27,MATCH(H$97,'Control - Grain dscf'!$B$11:$B$27,0),MATCH($Q28,'Control - Grain dscf'!$C$32:$N$32,0)),
IFERROR(INDEX('Control - Alt'!$C$9:$O$27,MATCH(H$97,'Control - Alt'!$B$9:$B$27,0),MATCH($Q28,'Control - Alt'!$C$32:$O$32,0)),
IFERROR(INDEX(Stockpile!$C$10:$M$26,MATCH(H$97,Stockpile!$B$10:$B$26,0),MATCH($Q28,Stockpile!$C$30:$M$30,0)),
IFERROR(INDEX('Asphalt Silo &amp; Unloading'!$D$10:$M$44,MATCH(H$97,'Asphalt Silo &amp; Unloading'!$B$10:$B$44,0),MATCH($Q28,'Asphalt Silo &amp; Unloading'!$D$49:$M$49,0)),""))))))</f>
        <v/>
      </c>
      <c r="I28" s="590" t="str">
        <f>IFERROR(INDEX('Material Handling'!$C$10:$AH$33,MATCH(I$97,Material_Handling[Data],0),MATCH($Q28,'Material Handling'!$C$40:$AH$40,0)), IFERROR(INDEX('Drop Point'!$B$13:$M$36,MATCH(I$97,'Drop Point'!$B$13:$B$37,0),MATCH($Q28,'Drop Point'!$B$41:$M$41,0)),
IFERROR(INDEX('Control - Grain dscf'!$C$11:$N$27,MATCH(I$97,'Control - Grain dscf'!$B$11:$B$27,0),MATCH($Q28,'Control - Grain dscf'!$C$32:$N$32,0)),
IFERROR(INDEX('Control - Alt'!$C$9:$O$27,MATCH(I$97,'Control - Alt'!$B$9:$B$27,0),MATCH($Q28,'Control - Alt'!$C$32:$O$32,0)),
IFERROR(INDEX(Stockpile!$C$10:$M$26,MATCH(I$97,Stockpile!$B$10:$B$26,0),MATCH($Q28,Stockpile!$C$30:$M$30,0)),
IFERROR(INDEX('Asphalt Silo &amp; Unloading'!$D$10:$M$44,MATCH(I$97,'Asphalt Silo &amp; Unloading'!$B$10:$B$44,0),MATCH($Q28,'Asphalt Silo &amp; Unloading'!$D$49:$M$49,0)),""))))))</f>
        <v/>
      </c>
      <c r="J28" s="590" t="str">
        <f>IFERROR(INDEX('Material Handling'!$C$10:$AH$33,MATCH(J$97,Material_Handling[Data],0),MATCH($Q28,'Material Handling'!$C$40:$AH$40,0)), IFERROR(INDEX('Drop Point'!$B$13:$M$36,MATCH(J$97,'Drop Point'!$B$13:$B$37,0),MATCH($Q28,'Drop Point'!$B$41:$M$41,0)),
IFERROR(INDEX('Control - Grain dscf'!$C$11:$N$27,MATCH(J$97,'Control - Grain dscf'!$B$11:$B$27,0),MATCH($Q28,'Control - Grain dscf'!$C$32:$N$32,0)),
IFERROR(INDEX('Control - Alt'!$C$9:$O$27,MATCH(J$97,'Control - Alt'!$B$9:$B$27,0),MATCH($Q28,'Control - Alt'!$C$32:$O$32,0)),
IFERROR(INDEX(Stockpile!$C$10:$M$26,MATCH(J$97,Stockpile!$B$10:$B$26,0),MATCH($Q28,Stockpile!$C$30:$M$30,0)),
IFERROR(INDEX('Asphalt Silo &amp; Unloading'!$D$10:$M$44,MATCH(J$97,'Asphalt Silo &amp; Unloading'!$B$10:$B$44,0),MATCH($Q28,'Asphalt Silo &amp; Unloading'!$D$49:$M$49,0)),""))))))</f>
        <v/>
      </c>
      <c r="K28" s="590" t="str">
        <f>IFERROR(INDEX('Material Handling'!$C$10:$AH$33,MATCH(K$97,Material_Handling[Data],0),MATCH($Q28,'Material Handling'!$C$40:$AH$40,0)), IFERROR(INDEX('Drop Point'!$B$13:$M$36,MATCH(K$97,'Drop Point'!$B$13:$B$37,0),MATCH($Q28,'Drop Point'!$B$41:$M$41,0)),
IFERROR(INDEX('Control - Grain dscf'!$C$11:$N$27,MATCH(K$97,'Control - Grain dscf'!$B$11:$B$27,0),MATCH($Q28,'Control - Grain dscf'!$C$32:$N$32,0)),
IFERROR(INDEX('Control - Alt'!$C$9:$O$27,MATCH(K$97,'Control - Alt'!$B$9:$B$27,0),MATCH($Q28,'Control - Alt'!$C$32:$O$32,0)),
IFERROR(INDEX(Stockpile!$C$10:$M$26,MATCH(K$97,Stockpile!$B$10:$B$26,0),MATCH($Q28,Stockpile!$C$30:$M$30,0)),
IFERROR(INDEX('Asphalt Silo &amp; Unloading'!$D$10:$M$44,MATCH(K$97,'Asphalt Silo &amp; Unloading'!$B$10:$B$44,0),MATCH($Q28,'Asphalt Silo &amp; Unloading'!$D$49:$M$49,0)),""))))))</f>
        <v/>
      </c>
      <c r="L28" s="590" t="str">
        <f>IFERROR(INDEX('Material Handling'!$C$10:$AH$33,MATCH(L$97,Material_Handling[Data],0),MATCH($Q28,'Material Handling'!$C$40:$AH$40,0)), IFERROR(INDEX('Drop Point'!$B$13:$M$36,MATCH(L$97,'Drop Point'!$B$13:$B$37,0),MATCH($Q28,'Drop Point'!$B$41:$M$41,0)),
IFERROR(INDEX('Control - Grain dscf'!$C$11:$N$27,MATCH(L$97,'Control - Grain dscf'!$B$11:$B$27,0),MATCH($Q28,'Control - Grain dscf'!$C$32:$N$32,0)),
IFERROR(INDEX('Control - Alt'!$C$9:$O$27,MATCH(L$97,'Control - Alt'!$B$9:$B$27,0),MATCH($Q28,'Control - Alt'!$C$32:$O$32,0)),
IFERROR(INDEX(Stockpile!$C$10:$M$26,MATCH(L$97,Stockpile!$B$10:$B$26,0),MATCH($Q28,Stockpile!$C$30:$M$30,0)),
IFERROR(INDEX('Asphalt Silo &amp; Unloading'!$D$10:$M$44,MATCH(L$97,'Asphalt Silo &amp; Unloading'!$B$10:$B$44,0),MATCH($Q28,'Asphalt Silo &amp; Unloading'!$D$49:$M$49,0)),""))))))</f>
        <v/>
      </c>
      <c r="M28" s="590" t="str">
        <f>IFERROR(INDEX('Material Handling'!$C$10:$AH$33,MATCH(M$97,Material_Handling[Data],0),MATCH($Q28,'Material Handling'!$C$40:$AH$40,0)), IFERROR(INDEX('Drop Point'!$B$13:$M$36,MATCH(M$97,'Drop Point'!$B$13:$B$37,0),MATCH($Q28,'Drop Point'!$B$41:$M$41,0)),
IFERROR(INDEX('Control - Grain dscf'!$C$11:$N$27,MATCH(M$97,'Control - Grain dscf'!$B$11:$B$27,0),MATCH($Q28,'Control - Grain dscf'!$C$32:$N$32,0)),
IFERROR(INDEX('Control - Alt'!$C$9:$O$27,MATCH(M$97,'Control - Alt'!$B$9:$B$27,0),MATCH($Q28,'Control - Alt'!$C$32:$O$32,0)),
IFERROR(INDEX(Stockpile!$C$10:$M$26,MATCH(M$97,Stockpile!$B$10:$B$26,0),MATCH($Q28,Stockpile!$C$30:$M$30,0)),
IFERROR(INDEX('Asphalt Silo &amp; Unloading'!$D$10:$M$44,MATCH(M$97,'Asphalt Silo &amp; Unloading'!$B$10:$B$44,0),MATCH($Q28,'Asphalt Silo &amp; Unloading'!$D$49:$M$49,0)),""))))))</f>
        <v/>
      </c>
      <c r="N28" s="590" t="str">
        <f>IFERROR(INDEX('Material Handling'!$C$10:$AH$33,MATCH(N$97,Material_Handling[Data],0),MATCH($Q28,'Material Handling'!$C$40:$AH$40,0)), IFERROR(INDEX('Drop Point'!$B$13:$M$36,MATCH(N$97,'Drop Point'!$B$13:$B$37,0),MATCH($Q28,'Drop Point'!$B$41:$M$41,0)),
IFERROR(INDEX('Control - Grain dscf'!$C$11:$N$27,MATCH(N$97,'Control - Grain dscf'!$B$11:$B$27,0),MATCH($Q28,'Control - Grain dscf'!$C$32:$N$32,0)),
IFERROR(INDEX('Control - Alt'!$C$9:$O$27,MATCH(N$97,'Control - Alt'!$B$9:$B$27,0),MATCH($Q28,'Control - Alt'!$C$32:$O$32,0)),
IFERROR(INDEX(Stockpile!$C$10:$M$26,MATCH(N$97,Stockpile!$B$10:$B$26,0),MATCH($Q28,Stockpile!$C$30:$M$30,0)),
IFERROR(INDEX('Asphalt Silo &amp; Unloading'!$D$10:$M$44,MATCH(N$97,'Asphalt Silo &amp; Unloading'!$B$10:$B$44,0),MATCH($Q28,'Asphalt Silo &amp; Unloading'!$D$49:$M$49,0)),""))))))</f>
        <v/>
      </c>
      <c r="O28" s="591" t="str">
        <f>IFERROR(INDEX('Material Handling'!$C$10:$AH$33,MATCH(O$97,Material_Handling[Data],0),MATCH($Q28,'Material Handling'!$C$40:$AH$40,0)), IFERROR(INDEX('Drop Point'!$B$13:$M$36,MATCH(O$97,'Drop Point'!$B$13:$B$37,0),MATCH($Q28,'Drop Point'!$B$41:$M$41,0)),
IFERROR(INDEX('Control - Grain dscf'!$C$11:$N$27,MATCH(O$97,'Control - Grain dscf'!$B$11:$B$27,0),MATCH($Q28,'Control - Grain dscf'!$C$32:$N$32,0)),
IFERROR(INDEX('Control - Alt'!$C$9:$O$27,MATCH(O$97,'Control - Alt'!$B$9:$B$27,0),MATCH($Q28,'Control - Alt'!$C$32:$O$32,0)),
IFERROR(INDEX(Stockpile!$C$10:$M$26,MATCH(O$97,Stockpile!$B$10:$B$26,0),MATCH($Q28,Stockpile!$C$30:$M$30,0)),
IFERROR(INDEX('Asphalt Silo &amp; Unloading'!$D$10:$M$44,MATCH(O$97,'Asphalt Silo &amp; Unloading'!$B$10:$B$44,0),MATCH($Q28,'Asphalt Silo &amp; Unloading'!$D$49:$M$49,0)),""))))))</f>
        <v/>
      </c>
      <c r="Q28" s="131">
        <f t="shared" si="0"/>
        <v>20</v>
      </c>
    </row>
    <row r="29" spans="1:17" ht="20.100000000000001" customHeight="1">
      <c r="A29" s="293" t="str">
        <f>IFERROR(INDEX('Material Handling'!$C$10:$AH$33,MATCH(A$97,Material_Handling[Data],0),MATCH($Q29,'Material Handling'!$C$40:$AH$40,0)), IFERROR(INDEX('Drop Point'!$B$13:$M$36,MATCH(A$97,'Drop Point'!$B$13:$B$37,0),MATCH($Q29,'Drop Point'!$B$41:$M$41,0)),
IFERROR(INDEX('Control - Grain dscf'!$C$11:$N$27,MATCH(A$97,'Control - Grain dscf'!$B$11:$B$27,0),MATCH($Q29,'Control - Grain dscf'!$C$32:$N$32,0)),
IFERROR(INDEX('Control - Alt'!$C$9:$O$27,MATCH(A$97,'Control - Alt'!$B$9:$B$27,0),MATCH($Q29,'Control - Alt'!$C$32:$O$32,0)),
IFERROR(INDEX(Stockpile!$C$10:$M$26,MATCH(A$97,Stockpile!$B$10:$B$26,0),MATCH($Q29,Stockpile!$C$30:$M$30,0)),
IFERROR(INDEX('Asphalt Silo &amp; Unloading'!$D$10:$M$44,MATCH(A$97,'Asphalt Silo &amp; Unloading'!$B$10:$B$44,0),MATCH($Q29,'Asphalt Silo &amp; Unloading'!$D$49:$M$49,0)),""))))))</f>
        <v/>
      </c>
      <c r="B29" s="135" t="str">
        <f>IFERROR(INDEX('Material Handling'!$C$10:$AH$33,MATCH(B$97,Material_Handling[Data],0),MATCH($Q29,'Material Handling'!$C$40:$AH$40,0)), IFERROR(INDEX('Drop Point'!$B$13:$M$36,MATCH(B$97,'Drop Point'!$B$13:$B$37,0),MATCH($Q29,'Drop Point'!$B$41:$M$41,0)),
IFERROR(INDEX('Control - Grain dscf'!$C$11:$N$27,MATCH(B$97,'Control - Grain dscf'!$B$11:$B$27,0),MATCH($Q29,'Control - Grain dscf'!$C$32:$N$32,0)),
IFERROR(INDEX('Control - Alt'!$C$9:$O$27,MATCH(B$97,'Control - Alt'!$B$9:$B$27,0),MATCH($Q29,'Control - Alt'!$C$32:$O$32,0)),
IFERROR(INDEX(Stockpile!$C$10:$M$26,MATCH(B$97,Stockpile!$B$10:$B$26,0),MATCH($Q29,Stockpile!$C$30:$M$30,0)),
IFERROR(INDEX('Asphalt Silo &amp; Unloading'!$D$10:$M$44,MATCH(B$97,'Asphalt Silo &amp; Unloading'!$B$10:$B$44,0),MATCH($Q29,'Asphalt Silo &amp; Unloading'!$D$49:$M$49,0)),""))))))</f>
        <v/>
      </c>
      <c r="C29" s="135" t="str">
        <f>IFERROR(INDEX('Material Handling'!$C$10:$AH$33,MATCH(C$97,Material_Handling[Data],0),MATCH($Q29,'Material Handling'!$C$40:$AH$40,0)), IFERROR(INDEX('Drop Point'!$B$13:$M$36,MATCH(C$97,'Drop Point'!$B$13:$B$37,0),MATCH($Q29,'Drop Point'!$B$41:$M$41,0)),
IFERROR(INDEX('Control - Grain dscf'!$C$11:$N$27,MATCH(C$97,'Control - Grain dscf'!$B$11:$B$27,0),MATCH($Q29,'Control - Grain dscf'!$C$32:$N$32,0)),
IFERROR(INDEX('Control - Alt'!$C$9:$O$27,MATCH(C$97,'Control - Alt'!$B$9:$B$27,0),MATCH($Q29,'Control - Alt'!$C$32:$O$32,0)),
IFERROR(INDEX(Stockpile!$C$10:$M$26,MATCH(C$97,Stockpile!$B$10:$B$26,0),MATCH($Q29,Stockpile!$C$30:$M$30,0)),
IFERROR(INDEX('Asphalt Silo &amp; Unloading'!$D$10:$M$44,MATCH(C$97,'Asphalt Silo &amp; Unloading'!$B$10:$B$44,0),MATCH($Q29,'Asphalt Silo &amp; Unloading'!$D$49:$M$49,0)),""))))))</f>
        <v/>
      </c>
      <c r="D29" s="135" t="str">
        <f>IFERROR(INDEX('Material Handling'!$C$10:$AH$33,MATCH(D$97,Material_Handling[Data],0),MATCH($Q29,'Material Handling'!$C$40:$AH$40,0)), IFERROR(INDEX('Drop Point'!$B$13:$M$36,MATCH(D$97,'Drop Point'!$B$13:$B$37,0),MATCH($Q29,'Drop Point'!$B$41:$M$41,0)),
IFERROR(INDEX('Control - Grain dscf'!$C$11:$N$27,MATCH(D$97,'Control - Grain dscf'!$B$11:$B$27,0),MATCH($Q29,'Control - Grain dscf'!$C$32:$N$32,0)),
IFERROR(INDEX('Control - Alt'!$C$9:$O$27,MATCH(D$97,'Control - Alt'!$B$9:$B$27,0),MATCH($Q29,'Control - Alt'!$C$32:$O$32,0)),
IFERROR(INDEX(Stockpile!$C$10:$M$26,MATCH(D$97,Stockpile!$B$10:$B$26,0),MATCH($Q29,Stockpile!$C$30:$M$30,0)),
IFERROR(INDEX('Asphalt Silo &amp; Unloading'!$D$10:$M$44,MATCH(D$97,'Asphalt Silo &amp; Unloading'!$B$10:$B$44,0),MATCH($Q29,'Asphalt Silo &amp; Unloading'!$D$49:$M$49,0)),""))))))</f>
        <v/>
      </c>
      <c r="E29" s="620" t="str">
        <f>IFERROR(INDEX('Material Handling'!$C$10:$AH$33,MATCH(E$97,Material_Handling[Data],0),MATCH($Q29,'Material Handling'!$C$40:$AH$40,0)), IFERROR(INDEX('Drop Point'!$B$13:$M$36,MATCH(E$97,'Drop Point'!$B$13:$B$37,0),MATCH($Q29,'Drop Point'!$B$41:$M$41,0)),
IFERROR(INDEX('Control - Grain dscf'!$C$11:$N$27,MATCH(E$97,'Control - Grain dscf'!$B$11:$B$27,0),MATCH($Q29,'Control - Grain dscf'!$C$32:$N$32,0)),
IFERROR(INDEX('Control - Alt'!$C$9:$O$27,MATCH(E$97,'Control - Alt'!$B$9:$B$27,0),MATCH($Q29,'Control - Alt'!$C$32:$O$32,0)),
IFERROR(INDEX(Stockpile!$C$10:$M$26,MATCH(E$97,Stockpile!$B$10:$B$26,0),MATCH($Q29,Stockpile!$C$30:$M$30,0)),
IFERROR(INDEX('Asphalt Silo &amp; Unloading'!$D$10:$M$44,MATCH(E$97,'Asphalt Silo &amp; Unloading'!$B$10:$B$44,0),MATCH($Q29,'Asphalt Silo &amp; Unloading'!$D$49:$M$49,0)),""))))))</f>
        <v/>
      </c>
      <c r="F29" s="590" t="str">
        <f>IFERROR(INDEX('Material Handling'!$C$10:$AH$33,MATCH(F$97,Material_Handling[Data],0),MATCH($Q29,'Material Handling'!$C$40:$AH$40,0)), IFERROR(INDEX('Drop Point'!$B$13:$M$36,MATCH(F$97,'Drop Point'!$B$13:$B$37,0),MATCH($Q29,'Drop Point'!$B$41:$M$41,0)),
IFERROR(INDEX('Control - Grain dscf'!$C$11:$N$27,MATCH(F$97,'Control - Grain dscf'!$B$11:$B$27,0),MATCH($Q29,'Control - Grain dscf'!$C$32:$N$32,0)),
IFERROR(INDEX('Control - Alt'!$C$9:$O$27,MATCH(F$97,'Control - Alt'!$B$9:$B$27,0),MATCH($Q29,'Control - Alt'!$C$32:$O$32,0)),
IFERROR(INDEX(Stockpile!$C$10:$M$26,MATCH(F$97,Stockpile!$B$10:$B$26,0),MATCH($Q29,Stockpile!$C$30:$M$30,0)),
IFERROR(INDEX('Asphalt Silo &amp; Unloading'!$D$10:$M$44,MATCH(F$97,'Asphalt Silo &amp; Unloading'!$B$10:$B$44,0),MATCH($Q29,'Asphalt Silo &amp; Unloading'!$D$49:$M$49,0)),""))))))</f>
        <v/>
      </c>
      <c r="G29" s="590" t="str">
        <f>IFERROR(INDEX('Material Handling'!$C$10:$AH$33,MATCH(G$97,Material_Handling[Data],0),MATCH($Q29,'Material Handling'!$C$40:$AH$40,0)), IFERROR(INDEX('Drop Point'!$B$13:$M$36,MATCH(G$97,'Drop Point'!$B$13:$B$37,0),MATCH($Q29,'Drop Point'!$B$41:$M$41,0)),
IFERROR(INDEX('Control - Grain dscf'!$C$11:$N$27,MATCH(G$97,'Control - Grain dscf'!$B$11:$B$27,0),MATCH($Q29,'Control - Grain dscf'!$C$32:$N$32,0)),
IFERROR(INDEX('Control - Alt'!$C$9:$O$27,MATCH(G$97,'Control - Alt'!$B$9:$B$27,0),MATCH($Q29,'Control - Alt'!$C$32:$O$32,0)),
IFERROR(INDEX(Stockpile!$C$10:$M$26,MATCH(G$97,Stockpile!$B$10:$B$26,0),MATCH($Q29,Stockpile!$C$30:$M$30,0)),
IFERROR(INDEX('Asphalt Silo &amp; Unloading'!$D$10:$M$44,MATCH(G$97,'Asphalt Silo &amp; Unloading'!$B$10:$B$44,0),MATCH($Q29,'Asphalt Silo &amp; Unloading'!$D$49:$M$49,0)),""))))))</f>
        <v/>
      </c>
      <c r="H29" s="590" t="str">
        <f>IFERROR(INDEX('Material Handling'!$C$10:$AH$33,MATCH(H$97,Material_Handling[Data],0),MATCH($Q29,'Material Handling'!$C$40:$AH$40,0)), IFERROR(INDEX('Drop Point'!$B$13:$M$36,MATCH(H$97,'Drop Point'!$B$13:$B$37,0),MATCH($Q29,'Drop Point'!$B$41:$M$41,0)),
IFERROR(INDEX('Control - Grain dscf'!$C$11:$N$27,MATCH(H$97,'Control - Grain dscf'!$B$11:$B$27,0),MATCH($Q29,'Control - Grain dscf'!$C$32:$N$32,0)),
IFERROR(INDEX('Control - Alt'!$C$9:$O$27,MATCH(H$97,'Control - Alt'!$B$9:$B$27,0),MATCH($Q29,'Control - Alt'!$C$32:$O$32,0)),
IFERROR(INDEX(Stockpile!$C$10:$M$26,MATCH(H$97,Stockpile!$B$10:$B$26,0),MATCH($Q29,Stockpile!$C$30:$M$30,0)),
IFERROR(INDEX('Asphalt Silo &amp; Unloading'!$D$10:$M$44,MATCH(H$97,'Asphalt Silo &amp; Unloading'!$B$10:$B$44,0),MATCH($Q29,'Asphalt Silo &amp; Unloading'!$D$49:$M$49,0)),""))))))</f>
        <v/>
      </c>
      <c r="I29" s="590" t="str">
        <f>IFERROR(INDEX('Material Handling'!$C$10:$AH$33,MATCH(I$97,Material_Handling[Data],0),MATCH($Q29,'Material Handling'!$C$40:$AH$40,0)), IFERROR(INDEX('Drop Point'!$B$13:$M$36,MATCH(I$97,'Drop Point'!$B$13:$B$37,0),MATCH($Q29,'Drop Point'!$B$41:$M$41,0)),
IFERROR(INDEX('Control - Grain dscf'!$C$11:$N$27,MATCH(I$97,'Control - Grain dscf'!$B$11:$B$27,0),MATCH($Q29,'Control - Grain dscf'!$C$32:$N$32,0)),
IFERROR(INDEX('Control - Alt'!$C$9:$O$27,MATCH(I$97,'Control - Alt'!$B$9:$B$27,0),MATCH($Q29,'Control - Alt'!$C$32:$O$32,0)),
IFERROR(INDEX(Stockpile!$C$10:$M$26,MATCH(I$97,Stockpile!$B$10:$B$26,0),MATCH($Q29,Stockpile!$C$30:$M$30,0)),
IFERROR(INDEX('Asphalt Silo &amp; Unloading'!$D$10:$M$44,MATCH(I$97,'Asphalt Silo &amp; Unloading'!$B$10:$B$44,0),MATCH($Q29,'Asphalt Silo &amp; Unloading'!$D$49:$M$49,0)),""))))))</f>
        <v/>
      </c>
      <c r="J29" s="590" t="str">
        <f>IFERROR(INDEX('Material Handling'!$C$10:$AH$33,MATCH(J$97,Material_Handling[Data],0),MATCH($Q29,'Material Handling'!$C$40:$AH$40,0)), IFERROR(INDEX('Drop Point'!$B$13:$M$36,MATCH(J$97,'Drop Point'!$B$13:$B$37,0),MATCH($Q29,'Drop Point'!$B$41:$M$41,0)),
IFERROR(INDEX('Control - Grain dscf'!$C$11:$N$27,MATCH(J$97,'Control - Grain dscf'!$B$11:$B$27,0),MATCH($Q29,'Control - Grain dscf'!$C$32:$N$32,0)),
IFERROR(INDEX('Control - Alt'!$C$9:$O$27,MATCH(J$97,'Control - Alt'!$B$9:$B$27,0),MATCH($Q29,'Control - Alt'!$C$32:$O$32,0)),
IFERROR(INDEX(Stockpile!$C$10:$M$26,MATCH(J$97,Stockpile!$B$10:$B$26,0),MATCH($Q29,Stockpile!$C$30:$M$30,0)),
IFERROR(INDEX('Asphalt Silo &amp; Unloading'!$D$10:$M$44,MATCH(J$97,'Asphalt Silo &amp; Unloading'!$B$10:$B$44,0),MATCH($Q29,'Asphalt Silo &amp; Unloading'!$D$49:$M$49,0)),""))))))</f>
        <v/>
      </c>
      <c r="K29" s="590" t="str">
        <f>IFERROR(INDEX('Material Handling'!$C$10:$AH$33,MATCH(K$97,Material_Handling[Data],0),MATCH($Q29,'Material Handling'!$C$40:$AH$40,0)), IFERROR(INDEX('Drop Point'!$B$13:$M$36,MATCH(K$97,'Drop Point'!$B$13:$B$37,0),MATCH($Q29,'Drop Point'!$B$41:$M$41,0)),
IFERROR(INDEX('Control - Grain dscf'!$C$11:$N$27,MATCH(K$97,'Control - Grain dscf'!$B$11:$B$27,0),MATCH($Q29,'Control - Grain dscf'!$C$32:$N$32,0)),
IFERROR(INDEX('Control - Alt'!$C$9:$O$27,MATCH(K$97,'Control - Alt'!$B$9:$B$27,0),MATCH($Q29,'Control - Alt'!$C$32:$O$32,0)),
IFERROR(INDEX(Stockpile!$C$10:$M$26,MATCH(K$97,Stockpile!$B$10:$B$26,0),MATCH($Q29,Stockpile!$C$30:$M$30,0)),
IFERROR(INDEX('Asphalt Silo &amp; Unloading'!$D$10:$M$44,MATCH(K$97,'Asphalt Silo &amp; Unloading'!$B$10:$B$44,0),MATCH($Q29,'Asphalt Silo &amp; Unloading'!$D$49:$M$49,0)),""))))))</f>
        <v/>
      </c>
      <c r="L29" s="590" t="str">
        <f>IFERROR(INDEX('Material Handling'!$C$10:$AH$33,MATCH(L$97,Material_Handling[Data],0),MATCH($Q29,'Material Handling'!$C$40:$AH$40,0)), IFERROR(INDEX('Drop Point'!$B$13:$M$36,MATCH(L$97,'Drop Point'!$B$13:$B$37,0),MATCH($Q29,'Drop Point'!$B$41:$M$41,0)),
IFERROR(INDEX('Control - Grain dscf'!$C$11:$N$27,MATCH(L$97,'Control - Grain dscf'!$B$11:$B$27,0),MATCH($Q29,'Control - Grain dscf'!$C$32:$N$32,0)),
IFERROR(INDEX('Control - Alt'!$C$9:$O$27,MATCH(L$97,'Control - Alt'!$B$9:$B$27,0),MATCH($Q29,'Control - Alt'!$C$32:$O$32,0)),
IFERROR(INDEX(Stockpile!$C$10:$M$26,MATCH(L$97,Stockpile!$B$10:$B$26,0),MATCH($Q29,Stockpile!$C$30:$M$30,0)),
IFERROR(INDEX('Asphalt Silo &amp; Unloading'!$D$10:$M$44,MATCH(L$97,'Asphalt Silo &amp; Unloading'!$B$10:$B$44,0),MATCH($Q29,'Asphalt Silo &amp; Unloading'!$D$49:$M$49,0)),""))))))</f>
        <v/>
      </c>
      <c r="M29" s="590" t="str">
        <f>IFERROR(INDEX('Material Handling'!$C$10:$AH$33,MATCH(M$97,Material_Handling[Data],0),MATCH($Q29,'Material Handling'!$C$40:$AH$40,0)), IFERROR(INDEX('Drop Point'!$B$13:$M$36,MATCH(M$97,'Drop Point'!$B$13:$B$37,0),MATCH($Q29,'Drop Point'!$B$41:$M$41,0)),
IFERROR(INDEX('Control - Grain dscf'!$C$11:$N$27,MATCH(M$97,'Control - Grain dscf'!$B$11:$B$27,0),MATCH($Q29,'Control - Grain dscf'!$C$32:$N$32,0)),
IFERROR(INDEX('Control - Alt'!$C$9:$O$27,MATCH(M$97,'Control - Alt'!$B$9:$B$27,0),MATCH($Q29,'Control - Alt'!$C$32:$O$32,0)),
IFERROR(INDEX(Stockpile!$C$10:$M$26,MATCH(M$97,Stockpile!$B$10:$B$26,0),MATCH($Q29,Stockpile!$C$30:$M$30,0)),
IFERROR(INDEX('Asphalt Silo &amp; Unloading'!$D$10:$M$44,MATCH(M$97,'Asphalt Silo &amp; Unloading'!$B$10:$B$44,0),MATCH($Q29,'Asphalt Silo &amp; Unloading'!$D$49:$M$49,0)),""))))))</f>
        <v/>
      </c>
      <c r="N29" s="590" t="str">
        <f>IFERROR(INDEX('Material Handling'!$C$10:$AH$33,MATCH(N$97,Material_Handling[Data],0),MATCH($Q29,'Material Handling'!$C$40:$AH$40,0)), IFERROR(INDEX('Drop Point'!$B$13:$M$36,MATCH(N$97,'Drop Point'!$B$13:$B$37,0),MATCH($Q29,'Drop Point'!$B$41:$M$41,0)),
IFERROR(INDEX('Control - Grain dscf'!$C$11:$N$27,MATCH(N$97,'Control - Grain dscf'!$B$11:$B$27,0),MATCH($Q29,'Control - Grain dscf'!$C$32:$N$32,0)),
IFERROR(INDEX('Control - Alt'!$C$9:$O$27,MATCH(N$97,'Control - Alt'!$B$9:$B$27,0),MATCH($Q29,'Control - Alt'!$C$32:$O$32,0)),
IFERROR(INDEX(Stockpile!$C$10:$M$26,MATCH(N$97,Stockpile!$B$10:$B$26,0),MATCH($Q29,Stockpile!$C$30:$M$30,0)),
IFERROR(INDEX('Asphalt Silo &amp; Unloading'!$D$10:$M$44,MATCH(N$97,'Asphalt Silo &amp; Unloading'!$B$10:$B$44,0),MATCH($Q29,'Asphalt Silo &amp; Unloading'!$D$49:$M$49,0)),""))))))</f>
        <v/>
      </c>
      <c r="O29" s="591" t="str">
        <f>IFERROR(INDEX('Material Handling'!$C$10:$AH$33,MATCH(O$97,Material_Handling[Data],0),MATCH($Q29,'Material Handling'!$C$40:$AH$40,0)), IFERROR(INDEX('Drop Point'!$B$13:$M$36,MATCH(O$97,'Drop Point'!$B$13:$B$37,0),MATCH($Q29,'Drop Point'!$B$41:$M$41,0)),
IFERROR(INDEX('Control - Grain dscf'!$C$11:$N$27,MATCH(O$97,'Control - Grain dscf'!$B$11:$B$27,0),MATCH($Q29,'Control - Grain dscf'!$C$32:$N$32,0)),
IFERROR(INDEX('Control - Alt'!$C$9:$O$27,MATCH(O$97,'Control - Alt'!$B$9:$B$27,0),MATCH($Q29,'Control - Alt'!$C$32:$O$32,0)),
IFERROR(INDEX(Stockpile!$C$10:$M$26,MATCH(O$97,Stockpile!$B$10:$B$26,0),MATCH($Q29,Stockpile!$C$30:$M$30,0)),
IFERROR(INDEX('Asphalt Silo &amp; Unloading'!$D$10:$M$44,MATCH(O$97,'Asphalt Silo &amp; Unloading'!$B$10:$B$44,0),MATCH($Q29,'Asphalt Silo &amp; Unloading'!$D$49:$M$49,0)),""))))))</f>
        <v/>
      </c>
      <c r="Q29" s="131">
        <f t="shared" si="0"/>
        <v>21</v>
      </c>
    </row>
    <row r="30" spans="1:17" ht="20.100000000000001" customHeight="1">
      <c r="A30" s="293" t="str">
        <f>IFERROR(INDEX('Material Handling'!$C$10:$AH$33,MATCH(A$97,Material_Handling[Data],0),MATCH($Q30,'Material Handling'!$C$40:$AH$40,0)), IFERROR(INDEX('Drop Point'!$B$13:$M$36,MATCH(A$97,'Drop Point'!$B$13:$B$37,0),MATCH($Q30,'Drop Point'!$B$41:$M$41,0)),
IFERROR(INDEX('Control - Grain dscf'!$C$11:$N$27,MATCH(A$97,'Control - Grain dscf'!$B$11:$B$27,0),MATCH($Q30,'Control - Grain dscf'!$C$32:$N$32,0)),
IFERROR(INDEX('Control - Alt'!$C$9:$O$27,MATCH(A$97,'Control - Alt'!$B$9:$B$27,0),MATCH($Q30,'Control - Alt'!$C$32:$O$32,0)),
IFERROR(INDEX(Stockpile!$C$10:$M$26,MATCH(A$97,Stockpile!$B$10:$B$26,0),MATCH($Q30,Stockpile!$C$30:$M$30,0)),
IFERROR(INDEX('Asphalt Silo &amp; Unloading'!$D$10:$M$44,MATCH(A$97,'Asphalt Silo &amp; Unloading'!$B$10:$B$44,0),MATCH($Q30,'Asphalt Silo &amp; Unloading'!$D$49:$M$49,0)),""))))))</f>
        <v/>
      </c>
      <c r="B30" s="135" t="str">
        <f>IFERROR(INDEX('Material Handling'!$C$10:$AH$33,MATCH(B$97,Material_Handling[Data],0),MATCH($Q30,'Material Handling'!$C$40:$AH$40,0)), IFERROR(INDEX('Drop Point'!$B$13:$M$36,MATCH(B$97,'Drop Point'!$B$13:$B$37,0),MATCH($Q30,'Drop Point'!$B$41:$M$41,0)),
IFERROR(INDEX('Control - Grain dscf'!$C$11:$N$27,MATCH(B$97,'Control - Grain dscf'!$B$11:$B$27,0),MATCH($Q30,'Control - Grain dscf'!$C$32:$N$32,0)),
IFERROR(INDEX('Control - Alt'!$C$9:$O$27,MATCH(B$97,'Control - Alt'!$B$9:$B$27,0),MATCH($Q30,'Control - Alt'!$C$32:$O$32,0)),
IFERROR(INDEX(Stockpile!$C$10:$M$26,MATCH(B$97,Stockpile!$B$10:$B$26,0),MATCH($Q30,Stockpile!$C$30:$M$30,0)),
IFERROR(INDEX('Asphalt Silo &amp; Unloading'!$D$10:$M$44,MATCH(B$97,'Asphalt Silo &amp; Unloading'!$B$10:$B$44,0),MATCH($Q30,'Asphalt Silo &amp; Unloading'!$D$49:$M$49,0)),""))))))</f>
        <v/>
      </c>
      <c r="C30" s="135" t="str">
        <f>IFERROR(INDEX('Material Handling'!$C$10:$AH$33,MATCH(C$97,Material_Handling[Data],0),MATCH($Q30,'Material Handling'!$C$40:$AH$40,0)), IFERROR(INDEX('Drop Point'!$B$13:$M$36,MATCH(C$97,'Drop Point'!$B$13:$B$37,0),MATCH($Q30,'Drop Point'!$B$41:$M$41,0)),
IFERROR(INDEX('Control - Grain dscf'!$C$11:$N$27,MATCH(C$97,'Control - Grain dscf'!$B$11:$B$27,0),MATCH($Q30,'Control - Grain dscf'!$C$32:$N$32,0)),
IFERROR(INDEX('Control - Alt'!$C$9:$O$27,MATCH(C$97,'Control - Alt'!$B$9:$B$27,0),MATCH($Q30,'Control - Alt'!$C$32:$O$32,0)),
IFERROR(INDEX(Stockpile!$C$10:$M$26,MATCH(C$97,Stockpile!$B$10:$B$26,0),MATCH($Q30,Stockpile!$C$30:$M$30,0)),
IFERROR(INDEX('Asphalt Silo &amp; Unloading'!$D$10:$M$44,MATCH(C$97,'Asphalt Silo &amp; Unloading'!$B$10:$B$44,0),MATCH($Q30,'Asphalt Silo &amp; Unloading'!$D$49:$M$49,0)),""))))))</f>
        <v/>
      </c>
      <c r="D30" s="135" t="str">
        <f>IFERROR(INDEX('Material Handling'!$C$10:$AH$33,MATCH(D$97,Material_Handling[Data],0),MATCH($Q30,'Material Handling'!$C$40:$AH$40,0)), IFERROR(INDEX('Drop Point'!$B$13:$M$36,MATCH(D$97,'Drop Point'!$B$13:$B$37,0),MATCH($Q30,'Drop Point'!$B$41:$M$41,0)),
IFERROR(INDEX('Control - Grain dscf'!$C$11:$N$27,MATCH(D$97,'Control - Grain dscf'!$B$11:$B$27,0),MATCH($Q30,'Control - Grain dscf'!$C$32:$N$32,0)),
IFERROR(INDEX('Control - Alt'!$C$9:$O$27,MATCH(D$97,'Control - Alt'!$B$9:$B$27,0),MATCH($Q30,'Control - Alt'!$C$32:$O$32,0)),
IFERROR(INDEX(Stockpile!$C$10:$M$26,MATCH(D$97,Stockpile!$B$10:$B$26,0),MATCH($Q30,Stockpile!$C$30:$M$30,0)),
IFERROR(INDEX('Asphalt Silo &amp; Unloading'!$D$10:$M$44,MATCH(D$97,'Asphalt Silo &amp; Unloading'!$B$10:$B$44,0),MATCH($Q30,'Asphalt Silo &amp; Unloading'!$D$49:$M$49,0)),""))))))</f>
        <v/>
      </c>
      <c r="E30" s="620" t="str">
        <f>IFERROR(INDEX('Material Handling'!$C$10:$AH$33,MATCH(E$97,Material_Handling[Data],0),MATCH($Q30,'Material Handling'!$C$40:$AH$40,0)), IFERROR(INDEX('Drop Point'!$B$13:$M$36,MATCH(E$97,'Drop Point'!$B$13:$B$37,0),MATCH($Q30,'Drop Point'!$B$41:$M$41,0)),
IFERROR(INDEX('Control - Grain dscf'!$C$11:$N$27,MATCH(E$97,'Control - Grain dscf'!$B$11:$B$27,0),MATCH($Q30,'Control - Grain dscf'!$C$32:$N$32,0)),
IFERROR(INDEX('Control - Alt'!$C$9:$O$27,MATCH(E$97,'Control - Alt'!$B$9:$B$27,0),MATCH($Q30,'Control - Alt'!$C$32:$O$32,0)),
IFERROR(INDEX(Stockpile!$C$10:$M$26,MATCH(E$97,Stockpile!$B$10:$B$26,0),MATCH($Q30,Stockpile!$C$30:$M$30,0)),
IFERROR(INDEX('Asphalt Silo &amp; Unloading'!$D$10:$M$44,MATCH(E$97,'Asphalt Silo &amp; Unloading'!$B$10:$B$44,0),MATCH($Q30,'Asphalt Silo &amp; Unloading'!$D$49:$M$49,0)),""))))))</f>
        <v/>
      </c>
      <c r="F30" s="590" t="str">
        <f>IFERROR(INDEX('Material Handling'!$C$10:$AH$33,MATCH(F$97,Material_Handling[Data],0),MATCH($Q30,'Material Handling'!$C$40:$AH$40,0)), IFERROR(INDEX('Drop Point'!$B$13:$M$36,MATCH(F$97,'Drop Point'!$B$13:$B$37,0),MATCH($Q30,'Drop Point'!$B$41:$M$41,0)),
IFERROR(INDEX('Control - Grain dscf'!$C$11:$N$27,MATCH(F$97,'Control - Grain dscf'!$B$11:$B$27,0),MATCH($Q30,'Control - Grain dscf'!$C$32:$N$32,0)),
IFERROR(INDEX('Control - Alt'!$C$9:$O$27,MATCH(F$97,'Control - Alt'!$B$9:$B$27,0),MATCH($Q30,'Control - Alt'!$C$32:$O$32,0)),
IFERROR(INDEX(Stockpile!$C$10:$M$26,MATCH(F$97,Stockpile!$B$10:$B$26,0),MATCH($Q30,Stockpile!$C$30:$M$30,0)),
IFERROR(INDEX('Asphalt Silo &amp; Unloading'!$D$10:$M$44,MATCH(F$97,'Asphalt Silo &amp; Unloading'!$B$10:$B$44,0),MATCH($Q30,'Asphalt Silo &amp; Unloading'!$D$49:$M$49,0)),""))))))</f>
        <v/>
      </c>
      <c r="G30" s="590" t="str">
        <f>IFERROR(INDEX('Material Handling'!$C$10:$AH$33,MATCH(G$97,Material_Handling[Data],0),MATCH($Q30,'Material Handling'!$C$40:$AH$40,0)), IFERROR(INDEX('Drop Point'!$B$13:$M$36,MATCH(G$97,'Drop Point'!$B$13:$B$37,0),MATCH($Q30,'Drop Point'!$B$41:$M$41,0)),
IFERROR(INDEX('Control - Grain dscf'!$C$11:$N$27,MATCH(G$97,'Control - Grain dscf'!$B$11:$B$27,0),MATCH($Q30,'Control - Grain dscf'!$C$32:$N$32,0)),
IFERROR(INDEX('Control - Alt'!$C$9:$O$27,MATCH(G$97,'Control - Alt'!$B$9:$B$27,0),MATCH($Q30,'Control - Alt'!$C$32:$O$32,0)),
IFERROR(INDEX(Stockpile!$C$10:$M$26,MATCH(G$97,Stockpile!$B$10:$B$26,0),MATCH($Q30,Stockpile!$C$30:$M$30,0)),
IFERROR(INDEX('Asphalt Silo &amp; Unloading'!$D$10:$M$44,MATCH(G$97,'Asphalt Silo &amp; Unloading'!$B$10:$B$44,0),MATCH($Q30,'Asphalt Silo &amp; Unloading'!$D$49:$M$49,0)),""))))))</f>
        <v/>
      </c>
      <c r="H30" s="590" t="str">
        <f>IFERROR(INDEX('Material Handling'!$C$10:$AH$33,MATCH(H$97,Material_Handling[Data],0),MATCH($Q30,'Material Handling'!$C$40:$AH$40,0)), IFERROR(INDEX('Drop Point'!$B$13:$M$36,MATCH(H$97,'Drop Point'!$B$13:$B$37,0),MATCH($Q30,'Drop Point'!$B$41:$M$41,0)),
IFERROR(INDEX('Control - Grain dscf'!$C$11:$N$27,MATCH(H$97,'Control - Grain dscf'!$B$11:$B$27,0),MATCH($Q30,'Control - Grain dscf'!$C$32:$N$32,0)),
IFERROR(INDEX('Control - Alt'!$C$9:$O$27,MATCH(H$97,'Control - Alt'!$B$9:$B$27,0),MATCH($Q30,'Control - Alt'!$C$32:$O$32,0)),
IFERROR(INDEX(Stockpile!$C$10:$M$26,MATCH(H$97,Stockpile!$B$10:$B$26,0),MATCH($Q30,Stockpile!$C$30:$M$30,0)),
IFERROR(INDEX('Asphalt Silo &amp; Unloading'!$D$10:$M$44,MATCH(H$97,'Asphalt Silo &amp; Unloading'!$B$10:$B$44,0),MATCH($Q30,'Asphalt Silo &amp; Unloading'!$D$49:$M$49,0)),""))))))</f>
        <v/>
      </c>
      <c r="I30" s="590" t="str">
        <f>IFERROR(INDEX('Material Handling'!$C$10:$AH$33,MATCH(I$97,Material_Handling[Data],0),MATCH($Q30,'Material Handling'!$C$40:$AH$40,0)), IFERROR(INDEX('Drop Point'!$B$13:$M$36,MATCH(I$97,'Drop Point'!$B$13:$B$37,0),MATCH($Q30,'Drop Point'!$B$41:$M$41,0)),
IFERROR(INDEX('Control - Grain dscf'!$C$11:$N$27,MATCH(I$97,'Control - Grain dscf'!$B$11:$B$27,0),MATCH($Q30,'Control - Grain dscf'!$C$32:$N$32,0)),
IFERROR(INDEX('Control - Alt'!$C$9:$O$27,MATCH(I$97,'Control - Alt'!$B$9:$B$27,0),MATCH($Q30,'Control - Alt'!$C$32:$O$32,0)),
IFERROR(INDEX(Stockpile!$C$10:$M$26,MATCH(I$97,Stockpile!$B$10:$B$26,0),MATCH($Q30,Stockpile!$C$30:$M$30,0)),
IFERROR(INDEX('Asphalt Silo &amp; Unloading'!$D$10:$M$44,MATCH(I$97,'Asphalt Silo &amp; Unloading'!$B$10:$B$44,0),MATCH($Q30,'Asphalt Silo &amp; Unloading'!$D$49:$M$49,0)),""))))))</f>
        <v/>
      </c>
      <c r="J30" s="590" t="str">
        <f>IFERROR(INDEX('Material Handling'!$C$10:$AH$33,MATCH(J$97,Material_Handling[Data],0),MATCH($Q30,'Material Handling'!$C$40:$AH$40,0)), IFERROR(INDEX('Drop Point'!$B$13:$M$36,MATCH(J$97,'Drop Point'!$B$13:$B$37,0),MATCH($Q30,'Drop Point'!$B$41:$M$41,0)),
IFERROR(INDEX('Control - Grain dscf'!$C$11:$N$27,MATCH(J$97,'Control - Grain dscf'!$B$11:$B$27,0),MATCH($Q30,'Control - Grain dscf'!$C$32:$N$32,0)),
IFERROR(INDEX('Control - Alt'!$C$9:$O$27,MATCH(J$97,'Control - Alt'!$B$9:$B$27,0),MATCH($Q30,'Control - Alt'!$C$32:$O$32,0)),
IFERROR(INDEX(Stockpile!$C$10:$M$26,MATCH(J$97,Stockpile!$B$10:$B$26,0),MATCH($Q30,Stockpile!$C$30:$M$30,0)),
IFERROR(INDEX('Asphalt Silo &amp; Unloading'!$D$10:$M$44,MATCH(J$97,'Asphalt Silo &amp; Unloading'!$B$10:$B$44,0),MATCH($Q30,'Asphalt Silo &amp; Unloading'!$D$49:$M$49,0)),""))))))</f>
        <v/>
      </c>
      <c r="K30" s="590" t="str">
        <f>IFERROR(INDEX('Material Handling'!$C$10:$AH$33,MATCH(K$97,Material_Handling[Data],0),MATCH($Q30,'Material Handling'!$C$40:$AH$40,0)), IFERROR(INDEX('Drop Point'!$B$13:$M$36,MATCH(K$97,'Drop Point'!$B$13:$B$37,0),MATCH($Q30,'Drop Point'!$B$41:$M$41,0)),
IFERROR(INDEX('Control - Grain dscf'!$C$11:$N$27,MATCH(K$97,'Control - Grain dscf'!$B$11:$B$27,0),MATCH($Q30,'Control - Grain dscf'!$C$32:$N$32,0)),
IFERROR(INDEX('Control - Alt'!$C$9:$O$27,MATCH(K$97,'Control - Alt'!$B$9:$B$27,0),MATCH($Q30,'Control - Alt'!$C$32:$O$32,0)),
IFERROR(INDEX(Stockpile!$C$10:$M$26,MATCH(K$97,Stockpile!$B$10:$B$26,0),MATCH($Q30,Stockpile!$C$30:$M$30,0)),
IFERROR(INDEX('Asphalt Silo &amp; Unloading'!$D$10:$M$44,MATCH(K$97,'Asphalt Silo &amp; Unloading'!$B$10:$B$44,0),MATCH($Q30,'Asphalt Silo &amp; Unloading'!$D$49:$M$49,0)),""))))))</f>
        <v/>
      </c>
      <c r="L30" s="590" t="str">
        <f>IFERROR(INDEX('Material Handling'!$C$10:$AH$33,MATCH(L$97,Material_Handling[Data],0),MATCH($Q30,'Material Handling'!$C$40:$AH$40,0)), IFERROR(INDEX('Drop Point'!$B$13:$M$36,MATCH(L$97,'Drop Point'!$B$13:$B$37,0),MATCH($Q30,'Drop Point'!$B$41:$M$41,0)),
IFERROR(INDEX('Control - Grain dscf'!$C$11:$N$27,MATCH(L$97,'Control - Grain dscf'!$B$11:$B$27,0),MATCH($Q30,'Control - Grain dscf'!$C$32:$N$32,0)),
IFERROR(INDEX('Control - Alt'!$C$9:$O$27,MATCH(L$97,'Control - Alt'!$B$9:$B$27,0),MATCH($Q30,'Control - Alt'!$C$32:$O$32,0)),
IFERROR(INDEX(Stockpile!$C$10:$M$26,MATCH(L$97,Stockpile!$B$10:$B$26,0),MATCH($Q30,Stockpile!$C$30:$M$30,0)),
IFERROR(INDEX('Asphalt Silo &amp; Unloading'!$D$10:$M$44,MATCH(L$97,'Asphalt Silo &amp; Unloading'!$B$10:$B$44,0),MATCH($Q30,'Asphalt Silo &amp; Unloading'!$D$49:$M$49,0)),""))))))</f>
        <v/>
      </c>
      <c r="M30" s="590" t="str">
        <f>IFERROR(INDEX('Material Handling'!$C$10:$AH$33,MATCH(M$97,Material_Handling[Data],0),MATCH($Q30,'Material Handling'!$C$40:$AH$40,0)), IFERROR(INDEX('Drop Point'!$B$13:$M$36,MATCH(M$97,'Drop Point'!$B$13:$B$37,0),MATCH($Q30,'Drop Point'!$B$41:$M$41,0)),
IFERROR(INDEX('Control - Grain dscf'!$C$11:$N$27,MATCH(M$97,'Control - Grain dscf'!$B$11:$B$27,0),MATCH($Q30,'Control - Grain dscf'!$C$32:$N$32,0)),
IFERROR(INDEX('Control - Alt'!$C$9:$O$27,MATCH(M$97,'Control - Alt'!$B$9:$B$27,0),MATCH($Q30,'Control - Alt'!$C$32:$O$32,0)),
IFERROR(INDEX(Stockpile!$C$10:$M$26,MATCH(M$97,Stockpile!$B$10:$B$26,0),MATCH($Q30,Stockpile!$C$30:$M$30,0)),
IFERROR(INDEX('Asphalt Silo &amp; Unloading'!$D$10:$M$44,MATCH(M$97,'Asphalt Silo &amp; Unloading'!$B$10:$B$44,0),MATCH($Q30,'Asphalt Silo &amp; Unloading'!$D$49:$M$49,0)),""))))))</f>
        <v/>
      </c>
      <c r="N30" s="590" t="str">
        <f>IFERROR(INDEX('Material Handling'!$C$10:$AH$33,MATCH(N$97,Material_Handling[Data],0),MATCH($Q30,'Material Handling'!$C$40:$AH$40,0)), IFERROR(INDEX('Drop Point'!$B$13:$M$36,MATCH(N$97,'Drop Point'!$B$13:$B$37,0),MATCH($Q30,'Drop Point'!$B$41:$M$41,0)),
IFERROR(INDEX('Control - Grain dscf'!$C$11:$N$27,MATCH(N$97,'Control - Grain dscf'!$B$11:$B$27,0),MATCH($Q30,'Control - Grain dscf'!$C$32:$N$32,0)),
IFERROR(INDEX('Control - Alt'!$C$9:$O$27,MATCH(N$97,'Control - Alt'!$B$9:$B$27,0),MATCH($Q30,'Control - Alt'!$C$32:$O$32,0)),
IFERROR(INDEX(Stockpile!$C$10:$M$26,MATCH(N$97,Stockpile!$B$10:$B$26,0),MATCH($Q30,Stockpile!$C$30:$M$30,0)),
IFERROR(INDEX('Asphalt Silo &amp; Unloading'!$D$10:$M$44,MATCH(N$97,'Asphalt Silo &amp; Unloading'!$B$10:$B$44,0),MATCH($Q30,'Asphalt Silo &amp; Unloading'!$D$49:$M$49,0)),""))))))</f>
        <v/>
      </c>
      <c r="O30" s="591" t="str">
        <f>IFERROR(INDEX('Material Handling'!$C$10:$AH$33,MATCH(O$97,Material_Handling[Data],0),MATCH($Q30,'Material Handling'!$C$40:$AH$40,0)), IFERROR(INDEX('Drop Point'!$B$13:$M$36,MATCH(O$97,'Drop Point'!$B$13:$B$37,0),MATCH($Q30,'Drop Point'!$B$41:$M$41,0)),
IFERROR(INDEX('Control - Grain dscf'!$C$11:$N$27,MATCH(O$97,'Control - Grain dscf'!$B$11:$B$27,0),MATCH($Q30,'Control - Grain dscf'!$C$32:$N$32,0)),
IFERROR(INDEX('Control - Alt'!$C$9:$O$27,MATCH(O$97,'Control - Alt'!$B$9:$B$27,0),MATCH($Q30,'Control - Alt'!$C$32:$O$32,0)),
IFERROR(INDEX(Stockpile!$C$10:$M$26,MATCH(O$97,Stockpile!$B$10:$B$26,0),MATCH($Q30,Stockpile!$C$30:$M$30,0)),
IFERROR(INDEX('Asphalt Silo &amp; Unloading'!$D$10:$M$44,MATCH(O$97,'Asphalt Silo &amp; Unloading'!$B$10:$B$44,0),MATCH($Q30,'Asphalt Silo &amp; Unloading'!$D$49:$M$49,0)),""))))))</f>
        <v/>
      </c>
      <c r="Q30" s="131">
        <f t="shared" si="0"/>
        <v>22</v>
      </c>
    </row>
    <row r="31" spans="1:17" ht="20.100000000000001" customHeight="1">
      <c r="A31" s="293" t="str">
        <f>IFERROR(INDEX('Material Handling'!$C$10:$AH$33,MATCH(A$97,Material_Handling[Data],0),MATCH($Q31,'Material Handling'!$C$40:$AH$40,0)), IFERROR(INDEX('Drop Point'!$B$13:$M$36,MATCH(A$97,'Drop Point'!$B$13:$B$37,0),MATCH($Q31,'Drop Point'!$B$41:$M$41,0)),
IFERROR(INDEX('Control - Grain dscf'!$C$11:$N$27,MATCH(A$97,'Control - Grain dscf'!$B$11:$B$27,0),MATCH($Q31,'Control - Grain dscf'!$C$32:$N$32,0)),
IFERROR(INDEX('Control - Alt'!$C$9:$O$27,MATCH(A$97,'Control - Alt'!$B$9:$B$27,0),MATCH($Q31,'Control - Alt'!$C$32:$O$32,0)),
IFERROR(INDEX(Stockpile!$C$10:$M$26,MATCH(A$97,Stockpile!$B$10:$B$26,0),MATCH($Q31,Stockpile!$C$30:$M$30,0)),
IFERROR(INDEX('Asphalt Silo &amp; Unloading'!$D$10:$M$44,MATCH(A$97,'Asphalt Silo &amp; Unloading'!$B$10:$B$44,0),MATCH($Q31,'Asphalt Silo &amp; Unloading'!$D$49:$M$49,0)),""))))))</f>
        <v/>
      </c>
      <c r="B31" s="135" t="str">
        <f>IFERROR(INDEX('Material Handling'!$C$10:$AH$33,MATCH(B$97,Material_Handling[Data],0),MATCH($Q31,'Material Handling'!$C$40:$AH$40,0)), IFERROR(INDEX('Drop Point'!$B$13:$M$36,MATCH(B$97,'Drop Point'!$B$13:$B$37,0),MATCH($Q31,'Drop Point'!$B$41:$M$41,0)),
IFERROR(INDEX('Control - Grain dscf'!$C$11:$N$27,MATCH(B$97,'Control - Grain dscf'!$B$11:$B$27,0),MATCH($Q31,'Control - Grain dscf'!$C$32:$N$32,0)),
IFERROR(INDEX('Control - Alt'!$C$9:$O$27,MATCH(B$97,'Control - Alt'!$B$9:$B$27,0),MATCH($Q31,'Control - Alt'!$C$32:$O$32,0)),
IFERROR(INDEX(Stockpile!$C$10:$M$26,MATCH(B$97,Stockpile!$B$10:$B$26,0),MATCH($Q31,Stockpile!$C$30:$M$30,0)),
IFERROR(INDEX('Asphalt Silo &amp; Unloading'!$D$10:$M$44,MATCH(B$97,'Asphalt Silo &amp; Unloading'!$B$10:$B$44,0),MATCH($Q31,'Asphalt Silo &amp; Unloading'!$D$49:$M$49,0)),""))))))</f>
        <v/>
      </c>
      <c r="C31" s="135" t="str">
        <f>IFERROR(INDEX('Material Handling'!$C$10:$AH$33,MATCH(C$97,Material_Handling[Data],0),MATCH($Q31,'Material Handling'!$C$40:$AH$40,0)), IFERROR(INDEX('Drop Point'!$B$13:$M$36,MATCH(C$97,'Drop Point'!$B$13:$B$37,0),MATCH($Q31,'Drop Point'!$B$41:$M$41,0)),
IFERROR(INDEX('Control - Grain dscf'!$C$11:$N$27,MATCH(C$97,'Control - Grain dscf'!$B$11:$B$27,0),MATCH($Q31,'Control - Grain dscf'!$C$32:$N$32,0)),
IFERROR(INDEX('Control - Alt'!$C$9:$O$27,MATCH(C$97,'Control - Alt'!$B$9:$B$27,0),MATCH($Q31,'Control - Alt'!$C$32:$O$32,0)),
IFERROR(INDEX(Stockpile!$C$10:$M$26,MATCH(C$97,Stockpile!$B$10:$B$26,0),MATCH($Q31,Stockpile!$C$30:$M$30,0)),
IFERROR(INDEX('Asphalt Silo &amp; Unloading'!$D$10:$M$44,MATCH(C$97,'Asphalt Silo &amp; Unloading'!$B$10:$B$44,0),MATCH($Q31,'Asphalt Silo &amp; Unloading'!$D$49:$M$49,0)),""))))))</f>
        <v/>
      </c>
      <c r="D31" s="135" t="str">
        <f>IFERROR(INDEX('Material Handling'!$C$10:$AH$33,MATCH(D$97,Material_Handling[Data],0),MATCH($Q31,'Material Handling'!$C$40:$AH$40,0)), IFERROR(INDEX('Drop Point'!$B$13:$M$36,MATCH(D$97,'Drop Point'!$B$13:$B$37,0),MATCH($Q31,'Drop Point'!$B$41:$M$41,0)),
IFERROR(INDEX('Control - Grain dscf'!$C$11:$N$27,MATCH(D$97,'Control - Grain dscf'!$B$11:$B$27,0),MATCH($Q31,'Control - Grain dscf'!$C$32:$N$32,0)),
IFERROR(INDEX('Control - Alt'!$C$9:$O$27,MATCH(D$97,'Control - Alt'!$B$9:$B$27,0),MATCH($Q31,'Control - Alt'!$C$32:$O$32,0)),
IFERROR(INDEX(Stockpile!$C$10:$M$26,MATCH(D$97,Stockpile!$B$10:$B$26,0),MATCH($Q31,Stockpile!$C$30:$M$30,0)),
IFERROR(INDEX('Asphalt Silo &amp; Unloading'!$D$10:$M$44,MATCH(D$97,'Asphalt Silo &amp; Unloading'!$B$10:$B$44,0),MATCH($Q31,'Asphalt Silo &amp; Unloading'!$D$49:$M$49,0)),""))))))</f>
        <v/>
      </c>
      <c r="E31" s="620" t="str">
        <f>IFERROR(INDEX('Material Handling'!$C$10:$AH$33,MATCH(E$97,Material_Handling[Data],0),MATCH($Q31,'Material Handling'!$C$40:$AH$40,0)), IFERROR(INDEX('Drop Point'!$B$13:$M$36,MATCH(E$97,'Drop Point'!$B$13:$B$37,0),MATCH($Q31,'Drop Point'!$B$41:$M$41,0)),
IFERROR(INDEX('Control - Grain dscf'!$C$11:$N$27,MATCH(E$97,'Control - Grain dscf'!$B$11:$B$27,0),MATCH($Q31,'Control - Grain dscf'!$C$32:$N$32,0)),
IFERROR(INDEX('Control - Alt'!$C$9:$O$27,MATCH(E$97,'Control - Alt'!$B$9:$B$27,0),MATCH($Q31,'Control - Alt'!$C$32:$O$32,0)),
IFERROR(INDEX(Stockpile!$C$10:$M$26,MATCH(E$97,Stockpile!$B$10:$B$26,0),MATCH($Q31,Stockpile!$C$30:$M$30,0)),
IFERROR(INDEX('Asphalt Silo &amp; Unloading'!$D$10:$M$44,MATCH(E$97,'Asphalt Silo &amp; Unloading'!$B$10:$B$44,0),MATCH($Q31,'Asphalt Silo &amp; Unloading'!$D$49:$M$49,0)),""))))))</f>
        <v/>
      </c>
      <c r="F31" s="590" t="str">
        <f>IFERROR(INDEX('Material Handling'!$C$10:$AH$33,MATCH(F$97,Material_Handling[Data],0),MATCH($Q31,'Material Handling'!$C$40:$AH$40,0)), IFERROR(INDEX('Drop Point'!$B$13:$M$36,MATCH(F$97,'Drop Point'!$B$13:$B$37,0),MATCH($Q31,'Drop Point'!$B$41:$M$41,0)),
IFERROR(INDEX('Control - Grain dscf'!$C$11:$N$27,MATCH(F$97,'Control - Grain dscf'!$B$11:$B$27,0),MATCH($Q31,'Control - Grain dscf'!$C$32:$N$32,0)),
IFERROR(INDEX('Control - Alt'!$C$9:$O$27,MATCH(F$97,'Control - Alt'!$B$9:$B$27,0),MATCH($Q31,'Control - Alt'!$C$32:$O$32,0)),
IFERROR(INDEX(Stockpile!$C$10:$M$26,MATCH(F$97,Stockpile!$B$10:$B$26,0),MATCH($Q31,Stockpile!$C$30:$M$30,0)),
IFERROR(INDEX('Asphalt Silo &amp; Unloading'!$D$10:$M$44,MATCH(F$97,'Asphalt Silo &amp; Unloading'!$B$10:$B$44,0),MATCH($Q31,'Asphalt Silo &amp; Unloading'!$D$49:$M$49,0)),""))))))</f>
        <v/>
      </c>
      <c r="G31" s="590" t="str">
        <f>IFERROR(INDEX('Material Handling'!$C$10:$AH$33,MATCH(G$97,Material_Handling[Data],0),MATCH($Q31,'Material Handling'!$C$40:$AH$40,0)), IFERROR(INDEX('Drop Point'!$B$13:$M$36,MATCH(G$97,'Drop Point'!$B$13:$B$37,0),MATCH($Q31,'Drop Point'!$B$41:$M$41,0)),
IFERROR(INDEX('Control - Grain dscf'!$C$11:$N$27,MATCH(G$97,'Control - Grain dscf'!$B$11:$B$27,0),MATCH($Q31,'Control - Grain dscf'!$C$32:$N$32,0)),
IFERROR(INDEX('Control - Alt'!$C$9:$O$27,MATCH(G$97,'Control - Alt'!$B$9:$B$27,0),MATCH($Q31,'Control - Alt'!$C$32:$O$32,0)),
IFERROR(INDEX(Stockpile!$C$10:$M$26,MATCH(G$97,Stockpile!$B$10:$B$26,0),MATCH($Q31,Stockpile!$C$30:$M$30,0)),
IFERROR(INDEX('Asphalt Silo &amp; Unloading'!$D$10:$M$44,MATCH(G$97,'Asphalt Silo &amp; Unloading'!$B$10:$B$44,0),MATCH($Q31,'Asphalt Silo &amp; Unloading'!$D$49:$M$49,0)),""))))))</f>
        <v/>
      </c>
      <c r="H31" s="590" t="str">
        <f>IFERROR(INDEX('Material Handling'!$C$10:$AH$33,MATCH(H$97,Material_Handling[Data],0),MATCH($Q31,'Material Handling'!$C$40:$AH$40,0)), IFERROR(INDEX('Drop Point'!$B$13:$M$36,MATCH(H$97,'Drop Point'!$B$13:$B$37,0),MATCH($Q31,'Drop Point'!$B$41:$M$41,0)),
IFERROR(INDEX('Control - Grain dscf'!$C$11:$N$27,MATCH(H$97,'Control - Grain dscf'!$B$11:$B$27,0),MATCH($Q31,'Control - Grain dscf'!$C$32:$N$32,0)),
IFERROR(INDEX('Control - Alt'!$C$9:$O$27,MATCH(H$97,'Control - Alt'!$B$9:$B$27,0),MATCH($Q31,'Control - Alt'!$C$32:$O$32,0)),
IFERROR(INDEX(Stockpile!$C$10:$M$26,MATCH(H$97,Stockpile!$B$10:$B$26,0),MATCH($Q31,Stockpile!$C$30:$M$30,0)),
IFERROR(INDEX('Asphalt Silo &amp; Unloading'!$D$10:$M$44,MATCH(H$97,'Asphalt Silo &amp; Unloading'!$B$10:$B$44,0),MATCH($Q31,'Asphalt Silo &amp; Unloading'!$D$49:$M$49,0)),""))))))</f>
        <v/>
      </c>
      <c r="I31" s="590" t="str">
        <f>IFERROR(INDEX('Material Handling'!$C$10:$AH$33,MATCH(I$97,Material_Handling[Data],0),MATCH($Q31,'Material Handling'!$C$40:$AH$40,0)), IFERROR(INDEX('Drop Point'!$B$13:$M$36,MATCH(I$97,'Drop Point'!$B$13:$B$37,0),MATCH($Q31,'Drop Point'!$B$41:$M$41,0)),
IFERROR(INDEX('Control - Grain dscf'!$C$11:$N$27,MATCH(I$97,'Control - Grain dscf'!$B$11:$B$27,0),MATCH($Q31,'Control - Grain dscf'!$C$32:$N$32,0)),
IFERROR(INDEX('Control - Alt'!$C$9:$O$27,MATCH(I$97,'Control - Alt'!$B$9:$B$27,0),MATCH($Q31,'Control - Alt'!$C$32:$O$32,0)),
IFERROR(INDEX(Stockpile!$C$10:$M$26,MATCH(I$97,Stockpile!$B$10:$B$26,0),MATCH($Q31,Stockpile!$C$30:$M$30,0)),
IFERROR(INDEX('Asphalt Silo &amp; Unloading'!$D$10:$M$44,MATCH(I$97,'Asphalt Silo &amp; Unloading'!$B$10:$B$44,0),MATCH($Q31,'Asphalt Silo &amp; Unloading'!$D$49:$M$49,0)),""))))))</f>
        <v/>
      </c>
      <c r="J31" s="590" t="str">
        <f>IFERROR(INDEX('Material Handling'!$C$10:$AH$33,MATCH(J$97,Material_Handling[Data],0),MATCH($Q31,'Material Handling'!$C$40:$AH$40,0)), IFERROR(INDEX('Drop Point'!$B$13:$M$36,MATCH(J$97,'Drop Point'!$B$13:$B$37,0),MATCH($Q31,'Drop Point'!$B$41:$M$41,0)),
IFERROR(INDEX('Control - Grain dscf'!$C$11:$N$27,MATCH(J$97,'Control - Grain dscf'!$B$11:$B$27,0),MATCH($Q31,'Control - Grain dscf'!$C$32:$N$32,0)),
IFERROR(INDEX('Control - Alt'!$C$9:$O$27,MATCH(J$97,'Control - Alt'!$B$9:$B$27,0),MATCH($Q31,'Control - Alt'!$C$32:$O$32,0)),
IFERROR(INDEX(Stockpile!$C$10:$M$26,MATCH(J$97,Stockpile!$B$10:$B$26,0),MATCH($Q31,Stockpile!$C$30:$M$30,0)),
IFERROR(INDEX('Asphalt Silo &amp; Unloading'!$D$10:$M$44,MATCH(J$97,'Asphalt Silo &amp; Unloading'!$B$10:$B$44,0),MATCH($Q31,'Asphalt Silo &amp; Unloading'!$D$49:$M$49,0)),""))))))</f>
        <v/>
      </c>
      <c r="K31" s="590" t="str">
        <f>IFERROR(INDEX('Material Handling'!$C$10:$AH$33,MATCH(K$97,Material_Handling[Data],0),MATCH($Q31,'Material Handling'!$C$40:$AH$40,0)), IFERROR(INDEX('Drop Point'!$B$13:$M$36,MATCH(K$97,'Drop Point'!$B$13:$B$37,0),MATCH($Q31,'Drop Point'!$B$41:$M$41,0)),
IFERROR(INDEX('Control - Grain dscf'!$C$11:$N$27,MATCH(K$97,'Control - Grain dscf'!$B$11:$B$27,0),MATCH($Q31,'Control - Grain dscf'!$C$32:$N$32,0)),
IFERROR(INDEX('Control - Alt'!$C$9:$O$27,MATCH(K$97,'Control - Alt'!$B$9:$B$27,0),MATCH($Q31,'Control - Alt'!$C$32:$O$32,0)),
IFERROR(INDEX(Stockpile!$C$10:$M$26,MATCH(K$97,Stockpile!$B$10:$B$26,0),MATCH($Q31,Stockpile!$C$30:$M$30,0)),
IFERROR(INDEX('Asphalt Silo &amp; Unloading'!$D$10:$M$44,MATCH(K$97,'Asphalt Silo &amp; Unloading'!$B$10:$B$44,0),MATCH($Q31,'Asphalt Silo &amp; Unloading'!$D$49:$M$49,0)),""))))))</f>
        <v/>
      </c>
      <c r="L31" s="590" t="str">
        <f>IFERROR(INDEX('Material Handling'!$C$10:$AH$33,MATCH(L$97,Material_Handling[Data],0),MATCH($Q31,'Material Handling'!$C$40:$AH$40,0)), IFERROR(INDEX('Drop Point'!$B$13:$M$36,MATCH(L$97,'Drop Point'!$B$13:$B$37,0),MATCH($Q31,'Drop Point'!$B$41:$M$41,0)),
IFERROR(INDEX('Control - Grain dscf'!$C$11:$N$27,MATCH(L$97,'Control - Grain dscf'!$B$11:$B$27,0),MATCH($Q31,'Control - Grain dscf'!$C$32:$N$32,0)),
IFERROR(INDEX('Control - Alt'!$C$9:$O$27,MATCH(L$97,'Control - Alt'!$B$9:$B$27,0),MATCH($Q31,'Control - Alt'!$C$32:$O$32,0)),
IFERROR(INDEX(Stockpile!$C$10:$M$26,MATCH(L$97,Stockpile!$B$10:$B$26,0),MATCH($Q31,Stockpile!$C$30:$M$30,0)),
IFERROR(INDEX('Asphalt Silo &amp; Unloading'!$D$10:$M$44,MATCH(L$97,'Asphalt Silo &amp; Unloading'!$B$10:$B$44,0),MATCH($Q31,'Asphalt Silo &amp; Unloading'!$D$49:$M$49,0)),""))))))</f>
        <v/>
      </c>
      <c r="M31" s="590" t="str">
        <f>IFERROR(INDEX('Material Handling'!$C$10:$AH$33,MATCH(M$97,Material_Handling[Data],0),MATCH($Q31,'Material Handling'!$C$40:$AH$40,0)), IFERROR(INDEX('Drop Point'!$B$13:$M$36,MATCH(M$97,'Drop Point'!$B$13:$B$37,0),MATCH($Q31,'Drop Point'!$B$41:$M$41,0)),
IFERROR(INDEX('Control - Grain dscf'!$C$11:$N$27,MATCH(M$97,'Control - Grain dscf'!$B$11:$B$27,0),MATCH($Q31,'Control - Grain dscf'!$C$32:$N$32,0)),
IFERROR(INDEX('Control - Alt'!$C$9:$O$27,MATCH(M$97,'Control - Alt'!$B$9:$B$27,0),MATCH($Q31,'Control - Alt'!$C$32:$O$32,0)),
IFERROR(INDEX(Stockpile!$C$10:$M$26,MATCH(M$97,Stockpile!$B$10:$B$26,0),MATCH($Q31,Stockpile!$C$30:$M$30,0)),
IFERROR(INDEX('Asphalt Silo &amp; Unloading'!$D$10:$M$44,MATCH(M$97,'Asphalt Silo &amp; Unloading'!$B$10:$B$44,0),MATCH($Q31,'Asphalt Silo &amp; Unloading'!$D$49:$M$49,0)),""))))))</f>
        <v/>
      </c>
      <c r="N31" s="590" t="str">
        <f>IFERROR(INDEX('Material Handling'!$C$10:$AH$33,MATCH(N$97,Material_Handling[Data],0),MATCH($Q31,'Material Handling'!$C$40:$AH$40,0)), IFERROR(INDEX('Drop Point'!$B$13:$M$36,MATCH(N$97,'Drop Point'!$B$13:$B$37,0),MATCH($Q31,'Drop Point'!$B$41:$M$41,0)),
IFERROR(INDEX('Control - Grain dscf'!$C$11:$N$27,MATCH(N$97,'Control - Grain dscf'!$B$11:$B$27,0),MATCH($Q31,'Control - Grain dscf'!$C$32:$N$32,0)),
IFERROR(INDEX('Control - Alt'!$C$9:$O$27,MATCH(N$97,'Control - Alt'!$B$9:$B$27,0),MATCH($Q31,'Control - Alt'!$C$32:$O$32,0)),
IFERROR(INDEX(Stockpile!$C$10:$M$26,MATCH(N$97,Stockpile!$B$10:$B$26,0),MATCH($Q31,Stockpile!$C$30:$M$30,0)),
IFERROR(INDEX('Asphalt Silo &amp; Unloading'!$D$10:$M$44,MATCH(N$97,'Asphalt Silo &amp; Unloading'!$B$10:$B$44,0),MATCH($Q31,'Asphalt Silo &amp; Unloading'!$D$49:$M$49,0)),""))))))</f>
        <v/>
      </c>
      <c r="O31" s="591" t="str">
        <f>IFERROR(INDEX('Material Handling'!$C$10:$AH$33,MATCH(O$97,Material_Handling[Data],0),MATCH($Q31,'Material Handling'!$C$40:$AH$40,0)), IFERROR(INDEX('Drop Point'!$B$13:$M$36,MATCH(O$97,'Drop Point'!$B$13:$B$37,0),MATCH($Q31,'Drop Point'!$B$41:$M$41,0)),
IFERROR(INDEX('Control - Grain dscf'!$C$11:$N$27,MATCH(O$97,'Control - Grain dscf'!$B$11:$B$27,0),MATCH($Q31,'Control - Grain dscf'!$C$32:$N$32,0)),
IFERROR(INDEX('Control - Alt'!$C$9:$O$27,MATCH(O$97,'Control - Alt'!$B$9:$B$27,0),MATCH($Q31,'Control - Alt'!$C$32:$O$32,0)),
IFERROR(INDEX(Stockpile!$C$10:$M$26,MATCH(O$97,Stockpile!$B$10:$B$26,0),MATCH($Q31,Stockpile!$C$30:$M$30,0)),
IFERROR(INDEX('Asphalt Silo &amp; Unloading'!$D$10:$M$44,MATCH(O$97,'Asphalt Silo &amp; Unloading'!$B$10:$B$44,0),MATCH($Q31,'Asphalt Silo &amp; Unloading'!$D$49:$M$49,0)),""))))))</f>
        <v/>
      </c>
      <c r="Q31" s="131">
        <f t="shared" si="0"/>
        <v>23</v>
      </c>
    </row>
    <row r="32" spans="1:17" ht="20.100000000000001" customHeight="1">
      <c r="A32" s="293" t="str">
        <f>IFERROR(INDEX('Material Handling'!$C$10:$AH$33,MATCH(A$97,Material_Handling[Data],0),MATCH($Q32,'Material Handling'!$C$40:$AH$40,0)), IFERROR(INDEX('Drop Point'!$B$13:$M$36,MATCH(A$97,'Drop Point'!$B$13:$B$37,0),MATCH($Q32,'Drop Point'!$B$41:$M$41,0)),
IFERROR(INDEX('Control - Grain dscf'!$C$11:$N$27,MATCH(A$97,'Control - Grain dscf'!$B$11:$B$27,0),MATCH($Q32,'Control - Grain dscf'!$C$32:$N$32,0)),
IFERROR(INDEX('Control - Alt'!$C$9:$O$27,MATCH(A$97,'Control - Alt'!$B$9:$B$27,0),MATCH($Q32,'Control - Alt'!$C$32:$O$32,0)),
IFERROR(INDEX(Stockpile!$C$10:$M$26,MATCH(A$97,Stockpile!$B$10:$B$26,0),MATCH($Q32,Stockpile!$C$30:$M$30,0)),
IFERROR(INDEX('Asphalt Silo &amp; Unloading'!$D$10:$M$44,MATCH(A$97,'Asphalt Silo &amp; Unloading'!$B$10:$B$44,0),MATCH($Q32,'Asphalt Silo &amp; Unloading'!$D$49:$M$49,0)),""))))))</f>
        <v/>
      </c>
      <c r="B32" s="135" t="str">
        <f>IFERROR(INDEX('Material Handling'!$C$10:$AH$33,MATCH(B$97,Material_Handling[Data],0),MATCH($Q32,'Material Handling'!$C$40:$AH$40,0)), IFERROR(INDEX('Drop Point'!$B$13:$M$36,MATCH(B$97,'Drop Point'!$B$13:$B$37,0),MATCH($Q32,'Drop Point'!$B$41:$M$41,0)),
IFERROR(INDEX('Control - Grain dscf'!$C$11:$N$27,MATCH(B$97,'Control - Grain dscf'!$B$11:$B$27,0),MATCH($Q32,'Control - Grain dscf'!$C$32:$N$32,0)),
IFERROR(INDEX('Control - Alt'!$C$9:$O$27,MATCH(B$97,'Control - Alt'!$B$9:$B$27,0),MATCH($Q32,'Control - Alt'!$C$32:$O$32,0)),
IFERROR(INDEX(Stockpile!$C$10:$M$26,MATCH(B$97,Stockpile!$B$10:$B$26,0),MATCH($Q32,Stockpile!$C$30:$M$30,0)),
IFERROR(INDEX('Asphalt Silo &amp; Unloading'!$D$10:$M$44,MATCH(B$97,'Asphalt Silo &amp; Unloading'!$B$10:$B$44,0),MATCH($Q32,'Asphalt Silo &amp; Unloading'!$D$49:$M$49,0)),""))))))</f>
        <v/>
      </c>
      <c r="C32" s="135" t="str">
        <f>IFERROR(INDEX('Material Handling'!$C$10:$AH$33,MATCH(C$97,Material_Handling[Data],0),MATCH($Q32,'Material Handling'!$C$40:$AH$40,0)), IFERROR(INDEX('Drop Point'!$B$13:$M$36,MATCH(C$97,'Drop Point'!$B$13:$B$37,0),MATCH($Q32,'Drop Point'!$B$41:$M$41,0)),
IFERROR(INDEX('Control - Grain dscf'!$C$11:$N$27,MATCH(C$97,'Control - Grain dscf'!$B$11:$B$27,0),MATCH($Q32,'Control - Grain dscf'!$C$32:$N$32,0)),
IFERROR(INDEX('Control - Alt'!$C$9:$O$27,MATCH(C$97,'Control - Alt'!$B$9:$B$27,0),MATCH($Q32,'Control - Alt'!$C$32:$O$32,0)),
IFERROR(INDEX(Stockpile!$C$10:$M$26,MATCH(C$97,Stockpile!$B$10:$B$26,0),MATCH($Q32,Stockpile!$C$30:$M$30,0)),
IFERROR(INDEX('Asphalt Silo &amp; Unloading'!$D$10:$M$44,MATCH(C$97,'Asphalt Silo &amp; Unloading'!$B$10:$B$44,0),MATCH($Q32,'Asphalt Silo &amp; Unloading'!$D$49:$M$49,0)),""))))))</f>
        <v/>
      </c>
      <c r="D32" s="135" t="str">
        <f>IFERROR(INDEX('Material Handling'!$C$10:$AH$33,MATCH(D$97,Material_Handling[Data],0),MATCH($Q32,'Material Handling'!$C$40:$AH$40,0)), IFERROR(INDEX('Drop Point'!$B$13:$M$36,MATCH(D$97,'Drop Point'!$B$13:$B$37,0),MATCH($Q32,'Drop Point'!$B$41:$M$41,0)),
IFERROR(INDEX('Control - Grain dscf'!$C$11:$N$27,MATCH(D$97,'Control - Grain dscf'!$B$11:$B$27,0),MATCH($Q32,'Control - Grain dscf'!$C$32:$N$32,0)),
IFERROR(INDEX('Control - Alt'!$C$9:$O$27,MATCH(D$97,'Control - Alt'!$B$9:$B$27,0),MATCH($Q32,'Control - Alt'!$C$32:$O$32,0)),
IFERROR(INDEX(Stockpile!$C$10:$M$26,MATCH(D$97,Stockpile!$B$10:$B$26,0),MATCH($Q32,Stockpile!$C$30:$M$30,0)),
IFERROR(INDEX('Asphalt Silo &amp; Unloading'!$D$10:$M$44,MATCH(D$97,'Asphalt Silo &amp; Unloading'!$B$10:$B$44,0),MATCH($Q32,'Asphalt Silo &amp; Unloading'!$D$49:$M$49,0)),""))))))</f>
        <v/>
      </c>
      <c r="E32" s="620" t="str">
        <f>IFERROR(INDEX('Material Handling'!$C$10:$AH$33,MATCH(E$97,Material_Handling[Data],0),MATCH($Q32,'Material Handling'!$C$40:$AH$40,0)), IFERROR(INDEX('Drop Point'!$B$13:$M$36,MATCH(E$97,'Drop Point'!$B$13:$B$37,0),MATCH($Q32,'Drop Point'!$B$41:$M$41,0)),
IFERROR(INDEX('Control - Grain dscf'!$C$11:$N$27,MATCH(E$97,'Control - Grain dscf'!$B$11:$B$27,0),MATCH($Q32,'Control - Grain dscf'!$C$32:$N$32,0)),
IFERROR(INDEX('Control - Alt'!$C$9:$O$27,MATCH(E$97,'Control - Alt'!$B$9:$B$27,0),MATCH($Q32,'Control - Alt'!$C$32:$O$32,0)),
IFERROR(INDEX(Stockpile!$C$10:$M$26,MATCH(E$97,Stockpile!$B$10:$B$26,0),MATCH($Q32,Stockpile!$C$30:$M$30,0)),
IFERROR(INDEX('Asphalt Silo &amp; Unloading'!$D$10:$M$44,MATCH(E$97,'Asphalt Silo &amp; Unloading'!$B$10:$B$44,0),MATCH($Q32,'Asphalt Silo &amp; Unloading'!$D$49:$M$49,0)),""))))))</f>
        <v/>
      </c>
      <c r="F32" s="590" t="str">
        <f>IFERROR(INDEX('Material Handling'!$C$10:$AH$33,MATCH(F$97,Material_Handling[Data],0),MATCH($Q32,'Material Handling'!$C$40:$AH$40,0)), IFERROR(INDEX('Drop Point'!$B$13:$M$36,MATCH(F$97,'Drop Point'!$B$13:$B$37,0),MATCH($Q32,'Drop Point'!$B$41:$M$41,0)),
IFERROR(INDEX('Control - Grain dscf'!$C$11:$N$27,MATCH(F$97,'Control - Grain dscf'!$B$11:$B$27,0),MATCH($Q32,'Control - Grain dscf'!$C$32:$N$32,0)),
IFERROR(INDEX('Control - Alt'!$C$9:$O$27,MATCH(F$97,'Control - Alt'!$B$9:$B$27,0),MATCH($Q32,'Control - Alt'!$C$32:$O$32,0)),
IFERROR(INDEX(Stockpile!$C$10:$M$26,MATCH(F$97,Stockpile!$B$10:$B$26,0),MATCH($Q32,Stockpile!$C$30:$M$30,0)),
IFERROR(INDEX('Asphalt Silo &amp; Unloading'!$D$10:$M$44,MATCH(F$97,'Asphalt Silo &amp; Unloading'!$B$10:$B$44,0),MATCH($Q32,'Asphalt Silo &amp; Unloading'!$D$49:$M$49,0)),""))))))</f>
        <v/>
      </c>
      <c r="G32" s="590" t="str">
        <f>IFERROR(INDEX('Material Handling'!$C$10:$AH$33,MATCH(G$97,Material_Handling[Data],0),MATCH($Q32,'Material Handling'!$C$40:$AH$40,0)), IFERROR(INDEX('Drop Point'!$B$13:$M$36,MATCH(G$97,'Drop Point'!$B$13:$B$37,0),MATCH($Q32,'Drop Point'!$B$41:$M$41,0)),
IFERROR(INDEX('Control - Grain dscf'!$C$11:$N$27,MATCH(G$97,'Control - Grain dscf'!$B$11:$B$27,0),MATCH($Q32,'Control - Grain dscf'!$C$32:$N$32,0)),
IFERROR(INDEX('Control - Alt'!$C$9:$O$27,MATCH(G$97,'Control - Alt'!$B$9:$B$27,0),MATCH($Q32,'Control - Alt'!$C$32:$O$32,0)),
IFERROR(INDEX(Stockpile!$C$10:$M$26,MATCH(G$97,Stockpile!$B$10:$B$26,0),MATCH($Q32,Stockpile!$C$30:$M$30,0)),
IFERROR(INDEX('Asphalt Silo &amp; Unloading'!$D$10:$M$44,MATCH(G$97,'Asphalt Silo &amp; Unloading'!$B$10:$B$44,0),MATCH($Q32,'Asphalt Silo &amp; Unloading'!$D$49:$M$49,0)),""))))))</f>
        <v/>
      </c>
      <c r="H32" s="590" t="str">
        <f>IFERROR(INDEX('Material Handling'!$C$10:$AH$33,MATCH(H$97,Material_Handling[Data],0),MATCH($Q32,'Material Handling'!$C$40:$AH$40,0)), IFERROR(INDEX('Drop Point'!$B$13:$M$36,MATCH(H$97,'Drop Point'!$B$13:$B$37,0),MATCH($Q32,'Drop Point'!$B$41:$M$41,0)),
IFERROR(INDEX('Control - Grain dscf'!$C$11:$N$27,MATCH(H$97,'Control - Grain dscf'!$B$11:$B$27,0),MATCH($Q32,'Control - Grain dscf'!$C$32:$N$32,0)),
IFERROR(INDEX('Control - Alt'!$C$9:$O$27,MATCH(H$97,'Control - Alt'!$B$9:$B$27,0),MATCH($Q32,'Control - Alt'!$C$32:$O$32,0)),
IFERROR(INDEX(Stockpile!$C$10:$M$26,MATCH(H$97,Stockpile!$B$10:$B$26,0),MATCH($Q32,Stockpile!$C$30:$M$30,0)),
IFERROR(INDEX('Asphalt Silo &amp; Unloading'!$D$10:$M$44,MATCH(H$97,'Asphalt Silo &amp; Unloading'!$B$10:$B$44,0),MATCH($Q32,'Asphalt Silo &amp; Unloading'!$D$49:$M$49,0)),""))))))</f>
        <v/>
      </c>
      <c r="I32" s="590" t="str">
        <f>IFERROR(INDEX('Material Handling'!$C$10:$AH$33,MATCH(I$97,Material_Handling[Data],0),MATCH($Q32,'Material Handling'!$C$40:$AH$40,0)), IFERROR(INDEX('Drop Point'!$B$13:$M$36,MATCH(I$97,'Drop Point'!$B$13:$B$37,0),MATCH($Q32,'Drop Point'!$B$41:$M$41,0)),
IFERROR(INDEX('Control - Grain dscf'!$C$11:$N$27,MATCH(I$97,'Control - Grain dscf'!$B$11:$B$27,0),MATCH($Q32,'Control - Grain dscf'!$C$32:$N$32,0)),
IFERROR(INDEX('Control - Alt'!$C$9:$O$27,MATCH(I$97,'Control - Alt'!$B$9:$B$27,0),MATCH($Q32,'Control - Alt'!$C$32:$O$32,0)),
IFERROR(INDEX(Stockpile!$C$10:$M$26,MATCH(I$97,Stockpile!$B$10:$B$26,0),MATCH($Q32,Stockpile!$C$30:$M$30,0)),
IFERROR(INDEX('Asphalt Silo &amp; Unloading'!$D$10:$M$44,MATCH(I$97,'Asphalt Silo &amp; Unloading'!$B$10:$B$44,0),MATCH($Q32,'Asphalt Silo &amp; Unloading'!$D$49:$M$49,0)),""))))))</f>
        <v/>
      </c>
      <c r="J32" s="590" t="str">
        <f>IFERROR(INDEX('Material Handling'!$C$10:$AH$33,MATCH(J$97,Material_Handling[Data],0),MATCH($Q32,'Material Handling'!$C$40:$AH$40,0)), IFERROR(INDEX('Drop Point'!$B$13:$M$36,MATCH(J$97,'Drop Point'!$B$13:$B$37,0),MATCH($Q32,'Drop Point'!$B$41:$M$41,0)),
IFERROR(INDEX('Control - Grain dscf'!$C$11:$N$27,MATCH(J$97,'Control - Grain dscf'!$B$11:$B$27,0),MATCH($Q32,'Control - Grain dscf'!$C$32:$N$32,0)),
IFERROR(INDEX('Control - Alt'!$C$9:$O$27,MATCH(J$97,'Control - Alt'!$B$9:$B$27,0),MATCH($Q32,'Control - Alt'!$C$32:$O$32,0)),
IFERROR(INDEX(Stockpile!$C$10:$M$26,MATCH(J$97,Stockpile!$B$10:$B$26,0),MATCH($Q32,Stockpile!$C$30:$M$30,0)),
IFERROR(INDEX('Asphalt Silo &amp; Unloading'!$D$10:$M$44,MATCH(J$97,'Asphalt Silo &amp; Unloading'!$B$10:$B$44,0),MATCH($Q32,'Asphalt Silo &amp; Unloading'!$D$49:$M$49,0)),""))))))</f>
        <v/>
      </c>
      <c r="K32" s="590" t="str">
        <f>IFERROR(INDEX('Material Handling'!$C$10:$AH$33,MATCH(K$97,Material_Handling[Data],0),MATCH($Q32,'Material Handling'!$C$40:$AH$40,0)), IFERROR(INDEX('Drop Point'!$B$13:$M$36,MATCH(K$97,'Drop Point'!$B$13:$B$37,0),MATCH($Q32,'Drop Point'!$B$41:$M$41,0)),
IFERROR(INDEX('Control - Grain dscf'!$C$11:$N$27,MATCH(K$97,'Control - Grain dscf'!$B$11:$B$27,0),MATCH($Q32,'Control - Grain dscf'!$C$32:$N$32,0)),
IFERROR(INDEX('Control - Alt'!$C$9:$O$27,MATCH(K$97,'Control - Alt'!$B$9:$B$27,0),MATCH($Q32,'Control - Alt'!$C$32:$O$32,0)),
IFERROR(INDEX(Stockpile!$C$10:$M$26,MATCH(K$97,Stockpile!$B$10:$B$26,0),MATCH($Q32,Stockpile!$C$30:$M$30,0)),
IFERROR(INDEX('Asphalt Silo &amp; Unloading'!$D$10:$M$44,MATCH(K$97,'Asphalt Silo &amp; Unloading'!$B$10:$B$44,0),MATCH($Q32,'Asphalt Silo &amp; Unloading'!$D$49:$M$49,0)),""))))))</f>
        <v/>
      </c>
      <c r="L32" s="590" t="str">
        <f>IFERROR(INDEX('Material Handling'!$C$10:$AH$33,MATCH(L$97,Material_Handling[Data],0),MATCH($Q32,'Material Handling'!$C$40:$AH$40,0)), IFERROR(INDEX('Drop Point'!$B$13:$M$36,MATCH(L$97,'Drop Point'!$B$13:$B$37,0),MATCH($Q32,'Drop Point'!$B$41:$M$41,0)),
IFERROR(INDEX('Control - Grain dscf'!$C$11:$N$27,MATCH(L$97,'Control - Grain dscf'!$B$11:$B$27,0),MATCH($Q32,'Control - Grain dscf'!$C$32:$N$32,0)),
IFERROR(INDEX('Control - Alt'!$C$9:$O$27,MATCH(L$97,'Control - Alt'!$B$9:$B$27,0),MATCH($Q32,'Control - Alt'!$C$32:$O$32,0)),
IFERROR(INDEX(Stockpile!$C$10:$M$26,MATCH(L$97,Stockpile!$B$10:$B$26,0),MATCH($Q32,Stockpile!$C$30:$M$30,0)),
IFERROR(INDEX('Asphalt Silo &amp; Unloading'!$D$10:$M$44,MATCH(L$97,'Asphalt Silo &amp; Unloading'!$B$10:$B$44,0),MATCH($Q32,'Asphalt Silo &amp; Unloading'!$D$49:$M$49,0)),""))))))</f>
        <v/>
      </c>
      <c r="M32" s="590" t="str">
        <f>IFERROR(INDEX('Material Handling'!$C$10:$AH$33,MATCH(M$97,Material_Handling[Data],0),MATCH($Q32,'Material Handling'!$C$40:$AH$40,0)), IFERROR(INDEX('Drop Point'!$B$13:$M$36,MATCH(M$97,'Drop Point'!$B$13:$B$37,0),MATCH($Q32,'Drop Point'!$B$41:$M$41,0)),
IFERROR(INDEX('Control - Grain dscf'!$C$11:$N$27,MATCH(M$97,'Control - Grain dscf'!$B$11:$B$27,0),MATCH($Q32,'Control - Grain dscf'!$C$32:$N$32,0)),
IFERROR(INDEX('Control - Alt'!$C$9:$O$27,MATCH(M$97,'Control - Alt'!$B$9:$B$27,0),MATCH($Q32,'Control - Alt'!$C$32:$O$32,0)),
IFERROR(INDEX(Stockpile!$C$10:$M$26,MATCH(M$97,Stockpile!$B$10:$B$26,0),MATCH($Q32,Stockpile!$C$30:$M$30,0)),
IFERROR(INDEX('Asphalt Silo &amp; Unloading'!$D$10:$M$44,MATCH(M$97,'Asphalt Silo &amp; Unloading'!$B$10:$B$44,0),MATCH($Q32,'Asphalt Silo &amp; Unloading'!$D$49:$M$49,0)),""))))))</f>
        <v/>
      </c>
      <c r="N32" s="590" t="str">
        <f>IFERROR(INDEX('Material Handling'!$C$10:$AH$33,MATCH(N$97,Material_Handling[Data],0),MATCH($Q32,'Material Handling'!$C$40:$AH$40,0)), IFERROR(INDEX('Drop Point'!$B$13:$M$36,MATCH(N$97,'Drop Point'!$B$13:$B$37,0),MATCH($Q32,'Drop Point'!$B$41:$M$41,0)),
IFERROR(INDEX('Control - Grain dscf'!$C$11:$N$27,MATCH(N$97,'Control - Grain dscf'!$B$11:$B$27,0),MATCH($Q32,'Control - Grain dscf'!$C$32:$N$32,0)),
IFERROR(INDEX('Control - Alt'!$C$9:$O$27,MATCH(N$97,'Control - Alt'!$B$9:$B$27,0),MATCH($Q32,'Control - Alt'!$C$32:$O$32,0)),
IFERROR(INDEX(Stockpile!$C$10:$M$26,MATCH(N$97,Stockpile!$B$10:$B$26,0),MATCH($Q32,Stockpile!$C$30:$M$30,0)),
IFERROR(INDEX('Asphalt Silo &amp; Unloading'!$D$10:$M$44,MATCH(N$97,'Asphalt Silo &amp; Unloading'!$B$10:$B$44,0),MATCH($Q32,'Asphalt Silo &amp; Unloading'!$D$49:$M$49,0)),""))))))</f>
        <v/>
      </c>
      <c r="O32" s="591" t="str">
        <f>IFERROR(INDEX('Material Handling'!$C$10:$AH$33,MATCH(O$97,Material_Handling[Data],0),MATCH($Q32,'Material Handling'!$C$40:$AH$40,0)), IFERROR(INDEX('Drop Point'!$B$13:$M$36,MATCH(O$97,'Drop Point'!$B$13:$B$37,0),MATCH($Q32,'Drop Point'!$B$41:$M$41,0)),
IFERROR(INDEX('Control - Grain dscf'!$C$11:$N$27,MATCH(O$97,'Control - Grain dscf'!$B$11:$B$27,0),MATCH($Q32,'Control - Grain dscf'!$C$32:$N$32,0)),
IFERROR(INDEX('Control - Alt'!$C$9:$O$27,MATCH(O$97,'Control - Alt'!$B$9:$B$27,0),MATCH($Q32,'Control - Alt'!$C$32:$O$32,0)),
IFERROR(INDEX(Stockpile!$C$10:$M$26,MATCH(O$97,Stockpile!$B$10:$B$26,0),MATCH($Q32,Stockpile!$C$30:$M$30,0)),
IFERROR(INDEX('Asphalt Silo &amp; Unloading'!$D$10:$M$44,MATCH(O$97,'Asphalt Silo &amp; Unloading'!$B$10:$B$44,0),MATCH($Q32,'Asphalt Silo &amp; Unloading'!$D$49:$M$49,0)),""))))))</f>
        <v/>
      </c>
      <c r="Q32" s="131">
        <f t="shared" si="0"/>
        <v>24</v>
      </c>
    </row>
    <row r="33" spans="1:17" ht="20.100000000000001" customHeight="1">
      <c r="A33" s="293" t="str">
        <f>IFERROR(INDEX('Material Handling'!$C$10:$AH$33,MATCH(A$97,Material_Handling[Data],0),MATCH($Q33,'Material Handling'!$C$40:$AH$40,0)), IFERROR(INDEX('Drop Point'!$B$13:$M$36,MATCH(A$97,'Drop Point'!$B$13:$B$37,0),MATCH($Q33,'Drop Point'!$B$41:$M$41,0)),
IFERROR(INDEX('Control - Grain dscf'!$C$11:$N$27,MATCH(A$97,'Control - Grain dscf'!$B$11:$B$27,0),MATCH($Q33,'Control - Grain dscf'!$C$32:$N$32,0)),
IFERROR(INDEX('Control - Alt'!$C$9:$O$27,MATCH(A$97,'Control - Alt'!$B$9:$B$27,0),MATCH($Q33,'Control - Alt'!$C$32:$O$32,0)),
IFERROR(INDEX(Stockpile!$C$10:$M$26,MATCH(A$97,Stockpile!$B$10:$B$26,0),MATCH($Q33,Stockpile!$C$30:$M$30,0)),
IFERROR(INDEX('Asphalt Silo &amp; Unloading'!$D$10:$M$44,MATCH(A$97,'Asphalt Silo &amp; Unloading'!$B$10:$B$44,0),MATCH($Q33,'Asphalt Silo &amp; Unloading'!$D$49:$M$49,0)),""))))))</f>
        <v/>
      </c>
      <c r="B33" s="135" t="str">
        <f>IFERROR(INDEX('Material Handling'!$C$10:$AH$33,MATCH(B$97,Material_Handling[Data],0),MATCH($Q33,'Material Handling'!$C$40:$AH$40,0)), IFERROR(INDEX('Drop Point'!$B$13:$M$36,MATCH(B$97,'Drop Point'!$B$13:$B$37,0),MATCH($Q33,'Drop Point'!$B$41:$M$41,0)),
IFERROR(INDEX('Control - Grain dscf'!$C$11:$N$27,MATCH(B$97,'Control - Grain dscf'!$B$11:$B$27,0),MATCH($Q33,'Control - Grain dscf'!$C$32:$N$32,0)),
IFERROR(INDEX('Control - Alt'!$C$9:$O$27,MATCH(B$97,'Control - Alt'!$B$9:$B$27,0),MATCH($Q33,'Control - Alt'!$C$32:$O$32,0)),
IFERROR(INDEX(Stockpile!$C$10:$M$26,MATCH(B$97,Stockpile!$B$10:$B$26,0),MATCH($Q33,Stockpile!$C$30:$M$30,0)),
IFERROR(INDEX('Asphalt Silo &amp; Unloading'!$D$10:$M$44,MATCH(B$97,'Asphalt Silo &amp; Unloading'!$B$10:$B$44,0),MATCH($Q33,'Asphalt Silo &amp; Unloading'!$D$49:$M$49,0)),""))))))</f>
        <v/>
      </c>
      <c r="C33" s="135" t="str">
        <f>IFERROR(INDEX('Material Handling'!$C$10:$AH$33,MATCH(C$97,Material_Handling[Data],0),MATCH($Q33,'Material Handling'!$C$40:$AH$40,0)), IFERROR(INDEX('Drop Point'!$B$13:$M$36,MATCH(C$97,'Drop Point'!$B$13:$B$37,0),MATCH($Q33,'Drop Point'!$B$41:$M$41,0)),
IFERROR(INDEX('Control - Grain dscf'!$C$11:$N$27,MATCH(C$97,'Control - Grain dscf'!$B$11:$B$27,0),MATCH($Q33,'Control - Grain dscf'!$C$32:$N$32,0)),
IFERROR(INDEX('Control - Alt'!$C$9:$O$27,MATCH(C$97,'Control - Alt'!$B$9:$B$27,0),MATCH($Q33,'Control - Alt'!$C$32:$O$32,0)),
IFERROR(INDEX(Stockpile!$C$10:$M$26,MATCH(C$97,Stockpile!$B$10:$B$26,0),MATCH($Q33,Stockpile!$C$30:$M$30,0)),
IFERROR(INDEX('Asphalt Silo &amp; Unloading'!$D$10:$M$44,MATCH(C$97,'Asphalt Silo &amp; Unloading'!$B$10:$B$44,0),MATCH($Q33,'Asphalt Silo &amp; Unloading'!$D$49:$M$49,0)),""))))))</f>
        <v/>
      </c>
      <c r="D33" s="135" t="str">
        <f>IFERROR(INDEX('Material Handling'!$C$10:$AH$33,MATCH(D$97,Material_Handling[Data],0),MATCH($Q33,'Material Handling'!$C$40:$AH$40,0)), IFERROR(INDEX('Drop Point'!$B$13:$M$36,MATCH(D$97,'Drop Point'!$B$13:$B$37,0),MATCH($Q33,'Drop Point'!$B$41:$M$41,0)),
IFERROR(INDEX('Control - Grain dscf'!$C$11:$N$27,MATCH(D$97,'Control - Grain dscf'!$B$11:$B$27,0),MATCH($Q33,'Control - Grain dscf'!$C$32:$N$32,0)),
IFERROR(INDEX('Control - Alt'!$C$9:$O$27,MATCH(D$97,'Control - Alt'!$B$9:$B$27,0),MATCH($Q33,'Control - Alt'!$C$32:$O$32,0)),
IFERROR(INDEX(Stockpile!$C$10:$M$26,MATCH(D$97,Stockpile!$B$10:$B$26,0),MATCH($Q33,Stockpile!$C$30:$M$30,0)),
IFERROR(INDEX('Asphalt Silo &amp; Unloading'!$D$10:$M$44,MATCH(D$97,'Asphalt Silo &amp; Unloading'!$B$10:$B$44,0),MATCH($Q33,'Asphalt Silo &amp; Unloading'!$D$49:$M$49,0)),""))))))</f>
        <v/>
      </c>
      <c r="E33" s="620" t="str">
        <f>IFERROR(INDEX('Material Handling'!$C$10:$AH$33,MATCH(E$97,Material_Handling[Data],0),MATCH($Q33,'Material Handling'!$C$40:$AH$40,0)), IFERROR(INDEX('Drop Point'!$B$13:$M$36,MATCH(E$97,'Drop Point'!$B$13:$B$37,0),MATCH($Q33,'Drop Point'!$B$41:$M$41,0)),
IFERROR(INDEX('Control - Grain dscf'!$C$11:$N$27,MATCH(E$97,'Control - Grain dscf'!$B$11:$B$27,0),MATCH($Q33,'Control - Grain dscf'!$C$32:$N$32,0)),
IFERROR(INDEX('Control - Alt'!$C$9:$O$27,MATCH(E$97,'Control - Alt'!$B$9:$B$27,0),MATCH($Q33,'Control - Alt'!$C$32:$O$32,0)),
IFERROR(INDEX(Stockpile!$C$10:$M$26,MATCH(E$97,Stockpile!$B$10:$B$26,0),MATCH($Q33,Stockpile!$C$30:$M$30,0)),
IFERROR(INDEX('Asphalt Silo &amp; Unloading'!$D$10:$M$44,MATCH(E$97,'Asphalt Silo &amp; Unloading'!$B$10:$B$44,0),MATCH($Q33,'Asphalt Silo &amp; Unloading'!$D$49:$M$49,0)),""))))))</f>
        <v/>
      </c>
      <c r="F33" s="590" t="str">
        <f>IFERROR(INDEX('Material Handling'!$C$10:$AH$33,MATCH(F$97,Material_Handling[Data],0),MATCH($Q33,'Material Handling'!$C$40:$AH$40,0)), IFERROR(INDEX('Drop Point'!$B$13:$M$36,MATCH(F$97,'Drop Point'!$B$13:$B$37,0),MATCH($Q33,'Drop Point'!$B$41:$M$41,0)),
IFERROR(INDEX('Control - Grain dscf'!$C$11:$N$27,MATCH(F$97,'Control - Grain dscf'!$B$11:$B$27,0),MATCH($Q33,'Control - Grain dscf'!$C$32:$N$32,0)),
IFERROR(INDEX('Control - Alt'!$C$9:$O$27,MATCH(F$97,'Control - Alt'!$B$9:$B$27,0),MATCH($Q33,'Control - Alt'!$C$32:$O$32,0)),
IFERROR(INDEX(Stockpile!$C$10:$M$26,MATCH(F$97,Stockpile!$B$10:$B$26,0),MATCH($Q33,Stockpile!$C$30:$M$30,0)),
IFERROR(INDEX('Asphalt Silo &amp; Unloading'!$D$10:$M$44,MATCH(F$97,'Asphalt Silo &amp; Unloading'!$B$10:$B$44,0),MATCH($Q33,'Asphalt Silo &amp; Unloading'!$D$49:$M$49,0)),""))))))</f>
        <v/>
      </c>
      <c r="G33" s="590" t="str">
        <f>IFERROR(INDEX('Material Handling'!$C$10:$AH$33,MATCH(G$97,Material_Handling[Data],0),MATCH($Q33,'Material Handling'!$C$40:$AH$40,0)), IFERROR(INDEX('Drop Point'!$B$13:$M$36,MATCH(G$97,'Drop Point'!$B$13:$B$37,0),MATCH($Q33,'Drop Point'!$B$41:$M$41,0)),
IFERROR(INDEX('Control - Grain dscf'!$C$11:$N$27,MATCH(G$97,'Control - Grain dscf'!$B$11:$B$27,0),MATCH($Q33,'Control - Grain dscf'!$C$32:$N$32,0)),
IFERROR(INDEX('Control - Alt'!$C$9:$O$27,MATCH(G$97,'Control - Alt'!$B$9:$B$27,0),MATCH($Q33,'Control - Alt'!$C$32:$O$32,0)),
IFERROR(INDEX(Stockpile!$C$10:$M$26,MATCH(G$97,Stockpile!$B$10:$B$26,0),MATCH($Q33,Stockpile!$C$30:$M$30,0)),
IFERROR(INDEX('Asphalt Silo &amp; Unloading'!$D$10:$M$44,MATCH(G$97,'Asphalt Silo &amp; Unloading'!$B$10:$B$44,0),MATCH($Q33,'Asphalt Silo &amp; Unloading'!$D$49:$M$49,0)),""))))))</f>
        <v/>
      </c>
      <c r="H33" s="590" t="str">
        <f>IFERROR(INDEX('Material Handling'!$C$10:$AH$33,MATCH(H$97,Material_Handling[Data],0),MATCH($Q33,'Material Handling'!$C$40:$AH$40,0)), IFERROR(INDEX('Drop Point'!$B$13:$M$36,MATCH(H$97,'Drop Point'!$B$13:$B$37,0),MATCH($Q33,'Drop Point'!$B$41:$M$41,0)),
IFERROR(INDEX('Control - Grain dscf'!$C$11:$N$27,MATCH(H$97,'Control - Grain dscf'!$B$11:$B$27,0),MATCH($Q33,'Control - Grain dscf'!$C$32:$N$32,0)),
IFERROR(INDEX('Control - Alt'!$C$9:$O$27,MATCH(H$97,'Control - Alt'!$B$9:$B$27,0),MATCH($Q33,'Control - Alt'!$C$32:$O$32,0)),
IFERROR(INDEX(Stockpile!$C$10:$M$26,MATCH(H$97,Stockpile!$B$10:$B$26,0),MATCH($Q33,Stockpile!$C$30:$M$30,0)),
IFERROR(INDEX('Asphalt Silo &amp; Unloading'!$D$10:$M$44,MATCH(H$97,'Asphalt Silo &amp; Unloading'!$B$10:$B$44,0),MATCH($Q33,'Asphalt Silo &amp; Unloading'!$D$49:$M$49,0)),""))))))</f>
        <v/>
      </c>
      <c r="I33" s="590" t="str">
        <f>IFERROR(INDEX('Material Handling'!$C$10:$AH$33,MATCH(I$97,Material_Handling[Data],0),MATCH($Q33,'Material Handling'!$C$40:$AH$40,0)), IFERROR(INDEX('Drop Point'!$B$13:$M$36,MATCH(I$97,'Drop Point'!$B$13:$B$37,0),MATCH($Q33,'Drop Point'!$B$41:$M$41,0)),
IFERROR(INDEX('Control - Grain dscf'!$C$11:$N$27,MATCH(I$97,'Control - Grain dscf'!$B$11:$B$27,0),MATCH($Q33,'Control - Grain dscf'!$C$32:$N$32,0)),
IFERROR(INDEX('Control - Alt'!$C$9:$O$27,MATCH(I$97,'Control - Alt'!$B$9:$B$27,0),MATCH($Q33,'Control - Alt'!$C$32:$O$32,0)),
IFERROR(INDEX(Stockpile!$C$10:$M$26,MATCH(I$97,Stockpile!$B$10:$B$26,0),MATCH($Q33,Stockpile!$C$30:$M$30,0)),
IFERROR(INDEX('Asphalt Silo &amp; Unloading'!$D$10:$M$44,MATCH(I$97,'Asphalt Silo &amp; Unloading'!$B$10:$B$44,0),MATCH($Q33,'Asphalt Silo &amp; Unloading'!$D$49:$M$49,0)),""))))))</f>
        <v/>
      </c>
      <c r="J33" s="590" t="str">
        <f>IFERROR(INDEX('Material Handling'!$C$10:$AH$33,MATCH(J$97,Material_Handling[Data],0),MATCH($Q33,'Material Handling'!$C$40:$AH$40,0)), IFERROR(INDEX('Drop Point'!$B$13:$M$36,MATCH(J$97,'Drop Point'!$B$13:$B$37,0),MATCH($Q33,'Drop Point'!$B$41:$M$41,0)),
IFERROR(INDEX('Control - Grain dscf'!$C$11:$N$27,MATCH(J$97,'Control - Grain dscf'!$B$11:$B$27,0),MATCH($Q33,'Control - Grain dscf'!$C$32:$N$32,0)),
IFERROR(INDEX('Control - Alt'!$C$9:$O$27,MATCH(J$97,'Control - Alt'!$B$9:$B$27,0),MATCH($Q33,'Control - Alt'!$C$32:$O$32,0)),
IFERROR(INDEX(Stockpile!$C$10:$M$26,MATCH(J$97,Stockpile!$B$10:$B$26,0),MATCH($Q33,Stockpile!$C$30:$M$30,0)),
IFERROR(INDEX('Asphalt Silo &amp; Unloading'!$D$10:$M$44,MATCH(J$97,'Asphalt Silo &amp; Unloading'!$B$10:$B$44,0),MATCH($Q33,'Asphalt Silo &amp; Unloading'!$D$49:$M$49,0)),""))))))</f>
        <v/>
      </c>
      <c r="K33" s="590" t="str">
        <f>IFERROR(INDEX('Material Handling'!$C$10:$AH$33,MATCH(K$97,Material_Handling[Data],0),MATCH($Q33,'Material Handling'!$C$40:$AH$40,0)), IFERROR(INDEX('Drop Point'!$B$13:$M$36,MATCH(K$97,'Drop Point'!$B$13:$B$37,0),MATCH($Q33,'Drop Point'!$B$41:$M$41,0)),
IFERROR(INDEX('Control - Grain dscf'!$C$11:$N$27,MATCH(K$97,'Control - Grain dscf'!$B$11:$B$27,0),MATCH($Q33,'Control - Grain dscf'!$C$32:$N$32,0)),
IFERROR(INDEX('Control - Alt'!$C$9:$O$27,MATCH(K$97,'Control - Alt'!$B$9:$B$27,0),MATCH($Q33,'Control - Alt'!$C$32:$O$32,0)),
IFERROR(INDEX(Stockpile!$C$10:$M$26,MATCH(K$97,Stockpile!$B$10:$B$26,0),MATCH($Q33,Stockpile!$C$30:$M$30,0)),
IFERROR(INDEX('Asphalt Silo &amp; Unloading'!$D$10:$M$44,MATCH(K$97,'Asphalt Silo &amp; Unloading'!$B$10:$B$44,0),MATCH($Q33,'Asphalt Silo &amp; Unloading'!$D$49:$M$49,0)),""))))))</f>
        <v/>
      </c>
      <c r="L33" s="590" t="str">
        <f>IFERROR(INDEX('Material Handling'!$C$10:$AH$33,MATCH(L$97,Material_Handling[Data],0),MATCH($Q33,'Material Handling'!$C$40:$AH$40,0)), IFERROR(INDEX('Drop Point'!$B$13:$M$36,MATCH(L$97,'Drop Point'!$B$13:$B$37,0),MATCH($Q33,'Drop Point'!$B$41:$M$41,0)),
IFERROR(INDEX('Control - Grain dscf'!$C$11:$N$27,MATCH(L$97,'Control - Grain dscf'!$B$11:$B$27,0),MATCH($Q33,'Control - Grain dscf'!$C$32:$N$32,0)),
IFERROR(INDEX('Control - Alt'!$C$9:$O$27,MATCH(L$97,'Control - Alt'!$B$9:$B$27,0),MATCH($Q33,'Control - Alt'!$C$32:$O$32,0)),
IFERROR(INDEX(Stockpile!$C$10:$M$26,MATCH(L$97,Stockpile!$B$10:$B$26,0),MATCH($Q33,Stockpile!$C$30:$M$30,0)),
IFERROR(INDEX('Asphalt Silo &amp; Unloading'!$D$10:$M$44,MATCH(L$97,'Asphalt Silo &amp; Unloading'!$B$10:$B$44,0),MATCH($Q33,'Asphalt Silo &amp; Unloading'!$D$49:$M$49,0)),""))))))</f>
        <v/>
      </c>
      <c r="M33" s="590" t="str">
        <f>IFERROR(INDEX('Material Handling'!$C$10:$AH$33,MATCH(M$97,Material_Handling[Data],0),MATCH($Q33,'Material Handling'!$C$40:$AH$40,0)), IFERROR(INDEX('Drop Point'!$B$13:$M$36,MATCH(M$97,'Drop Point'!$B$13:$B$37,0),MATCH($Q33,'Drop Point'!$B$41:$M$41,0)),
IFERROR(INDEX('Control - Grain dscf'!$C$11:$N$27,MATCH(M$97,'Control - Grain dscf'!$B$11:$B$27,0),MATCH($Q33,'Control - Grain dscf'!$C$32:$N$32,0)),
IFERROR(INDEX('Control - Alt'!$C$9:$O$27,MATCH(M$97,'Control - Alt'!$B$9:$B$27,0),MATCH($Q33,'Control - Alt'!$C$32:$O$32,0)),
IFERROR(INDEX(Stockpile!$C$10:$M$26,MATCH(M$97,Stockpile!$B$10:$B$26,0),MATCH($Q33,Stockpile!$C$30:$M$30,0)),
IFERROR(INDEX('Asphalt Silo &amp; Unloading'!$D$10:$M$44,MATCH(M$97,'Asphalt Silo &amp; Unloading'!$B$10:$B$44,0),MATCH($Q33,'Asphalt Silo &amp; Unloading'!$D$49:$M$49,0)),""))))))</f>
        <v/>
      </c>
      <c r="N33" s="590" t="str">
        <f>IFERROR(INDEX('Material Handling'!$C$10:$AH$33,MATCH(N$97,Material_Handling[Data],0),MATCH($Q33,'Material Handling'!$C$40:$AH$40,0)), IFERROR(INDEX('Drop Point'!$B$13:$M$36,MATCH(N$97,'Drop Point'!$B$13:$B$37,0),MATCH($Q33,'Drop Point'!$B$41:$M$41,0)),
IFERROR(INDEX('Control - Grain dscf'!$C$11:$N$27,MATCH(N$97,'Control - Grain dscf'!$B$11:$B$27,0),MATCH($Q33,'Control - Grain dscf'!$C$32:$N$32,0)),
IFERROR(INDEX('Control - Alt'!$C$9:$O$27,MATCH(N$97,'Control - Alt'!$B$9:$B$27,0),MATCH($Q33,'Control - Alt'!$C$32:$O$32,0)),
IFERROR(INDEX(Stockpile!$C$10:$M$26,MATCH(N$97,Stockpile!$B$10:$B$26,0),MATCH($Q33,Stockpile!$C$30:$M$30,0)),
IFERROR(INDEX('Asphalt Silo &amp; Unloading'!$D$10:$M$44,MATCH(N$97,'Asphalt Silo &amp; Unloading'!$B$10:$B$44,0),MATCH($Q33,'Asphalt Silo &amp; Unloading'!$D$49:$M$49,0)),""))))))</f>
        <v/>
      </c>
      <c r="O33" s="591" t="str">
        <f>IFERROR(INDEX('Material Handling'!$C$10:$AH$33,MATCH(O$97,Material_Handling[Data],0),MATCH($Q33,'Material Handling'!$C$40:$AH$40,0)), IFERROR(INDEX('Drop Point'!$B$13:$M$36,MATCH(O$97,'Drop Point'!$B$13:$B$37,0),MATCH($Q33,'Drop Point'!$B$41:$M$41,0)),
IFERROR(INDEX('Control - Grain dscf'!$C$11:$N$27,MATCH(O$97,'Control - Grain dscf'!$B$11:$B$27,0),MATCH($Q33,'Control - Grain dscf'!$C$32:$N$32,0)),
IFERROR(INDEX('Control - Alt'!$C$9:$O$27,MATCH(O$97,'Control - Alt'!$B$9:$B$27,0),MATCH($Q33,'Control - Alt'!$C$32:$O$32,0)),
IFERROR(INDEX(Stockpile!$C$10:$M$26,MATCH(O$97,Stockpile!$B$10:$B$26,0),MATCH($Q33,Stockpile!$C$30:$M$30,0)),
IFERROR(INDEX('Asphalt Silo &amp; Unloading'!$D$10:$M$44,MATCH(O$97,'Asphalt Silo &amp; Unloading'!$B$10:$B$44,0),MATCH($Q33,'Asphalt Silo &amp; Unloading'!$D$49:$M$49,0)),""))))))</f>
        <v/>
      </c>
      <c r="Q33" s="131">
        <f t="shared" si="0"/>
        <v>25</v>
      </c>
    </row>
    <row r="34" spans="1:17" ht="20.100000000000001" customHeight="1">
      <c r="A34" s="293" t="str">
        <f>IFERROR(INDEX('Material Handling'!$C$10:$AH$33,MATCH(A$97,Material_Handling[Data],0),MATCH($Q34,'Material Handling'!$C$40:$AH$40,0)), IFERROR(INDEX('Drop Point'!$B$13:$M$36,MATCH(A$97,'Drop Point'!$B$13:$B$37,0),MATCH($Q34,'Drop Point'!$B$41:$M$41,0)),
IFERROR(INDEX('Control - Grain dscf'!$C$11:$N$27,MATCH(A$97,'Control - Grain dscf'!$B$11:$B$27,0),MATCH($Q34,'Control - Grain dscf'!$C$32:$N$32,0)),
IFERROR(INDEX('Control - Alt'!$C$9:$O$27,MATCH(A$97,'Control - Alt'!$B$9:$B$27,0),MATCH($Q34,'Control - Alt'!$C$32:$O$32,0)),
IFERROR(INDEX(Stockpile!$C$10:$M$26,MATCH(A$97,Stockpile!$B$10:$B$26,0),MATCH($Q34,Stockpile!$C$30:$M$30,0)),
IFERROR(INDEX('Asphalt Silo &amp; Unloading'!$D$10:$M$44,MATCH(A$97,'Asphalt Silo &amp; Unloading'!$B$10:$B$44,0),MATCH($Q34,'Asphalt Silo &amp; Unloading'!$D$49:$M$49,0)),""))))))</f>
        <v/>
      </c>
      <c r="B34" s="135" t="str">
        <f>IFERROR(INDEX('Material Handling'!$C$10:$AH$33,MATCH(B$97,Material_Handling[Data],0),MATCH($Q34,'Material Handling'!$C$40:$AH$40,0)), IFERROR(INDEX('Drop Point'!$B$13:$M$36,MATCH(B$97,'Drop Point'!$B$13:$B$37,0),MATCH($Q34,'Drop Point'!$B$41:$M$41,0)),
IFERROR(INDEX('Control - Grain dscf'!$C$11:$N$27,MATCH(B$97,'Control - Grain dscf'!$B$11:$B$27,0),MATCH($Q34,'Control - Grain dscf'!$C$32:$N$32,0)),
IFERROR(INDEX('Control - Alt'!$C$9:$O$27,MATCH(B$97,'Control - Alt'!$B$9:$B$27,0),MATCH($Q34,'Control - Alt'!$C$32:$O$32,0)),
IFERROR(INDEX(Stockpile!$C$10:$M$26,MATCH(B$97,Stockpile!$B$10:$B$26,0),MATCH($Q34,Stockpile!$C$30:$M$30,0)),
IFERROR(INDEX('Asphalt Silo &amp; Unloading'!$D$10:$M$44,MATCH(B$97,'Asphalt Silo &amp; Unloading'!$B$10:$B$44,0),MATCH($Q34,'Asphalt Silo &amp; Unloading'!$D$49:$M$49,0)),""))))))</f>
        <v/>
      </c>
      <c r="C34" s="135" t="str">
        <f>IFERROR(INDEX('Material Handling'!$C$10:$AH$33,MATCH(C$97,Material_Handling[Data],0),MATCH($Q34,'Material Handling'!$C$40:$AH$40,0)), IFERROR(INDEX('Drop Point'!$B$13:$M$36,MATCH(C$97,'Drop Point'!$B$13:$B$37,0),MATCH($Q34,'Drop Point'!$B$41:$M$41,0)),
IFERROR(INDEX('Control - Grain dscf'!$C$11:$N$27,MATCH(C$97,'Control - Grain dscf'!$B$11:$B$27,0),MATCH($Q34,'Control - Grain dscf'!$C$32:$N$32,0)),
IFERROR(INDEX('Control - Alt'!$C$9:$O$27,MATCH(C$97,'Control - Alt'!$B$9:$B$27,0),MATCH($Q34,'Control - Alt'!$C$32:$O$32,0)),
IFERROR(INDEX(Stockpile!$C$10:$M$26,MATCH(C$97,Stockpile!$B$10:$B$26,0),MATCH($Q34,Stockpile!$C$30:$M$30,0)),
IFERROR(INDEX('Asphalt Silo &amp; Unloading'!$D$10:$M$44,MATCH(C$97,'Asphalt Silo &amp; Unloading'!$B$10:$B$44,0),MATCH($Q34,'Asphalt Silo &amp; Unloading'!$D$49:$M$49,0)),""))))))</f>
        <v/>
      </c>
      <c r="D34" s="135" t="str">
        <f>IFERROR(INDEX('Material Handling'!$C$10:$AH$33,MATCH(D$97,Material_Handling[Data],0),MATCH($Q34,'Material Handling'!$C$40:$AH$40,0)), IFERROR(INDEX('Drop Point'!$B$13:$M$36,MATCH(D$97,'Drop Point'!$B$13:$B$37,0),MATCH($Q34,'Drop Point'!$B$41:$M$41,0)),
IFERROR(INDEX('Control - Grain dscf'!$C$11:$N$27,MATCH(D$97,'Control - Grain dscf'!$B$11:$B$27,0),MATCH($Q34,'Control - Grain dscf'!$C$32:$N$32,0)),
IFERROR(INDEX('Control - Alt'!$C$9:$O$27,MATCH(D$97,'Control - Alt'!$B$9:$B$27,0),MATCH($Q34,'Control - Alt'!$C$32:$O$32,0)),
IFERROR(INDEX(Stockpile!$C$10:$M$26,MATCH(D$97,Stockpile!$B$10:$B$26,0),MATCH($Q34,Stockpile!$C$30:$M$30,0)),
IFERROR(INDEX('Asphalt Silo &amp; Unloading'!$D$10:$M$44,MATCH(D$97,'Asphalt Silo &amp; Unloading'!$B$10:$B$44,0),MATCH($Q34,'Asphalt Silo &amp; Unloading'!$D$49:$M$49,0)),""))))))</f>
        <v/>
      </c>
      <c r="E34" s="620" t="str">
        <f>IFERROR(INDEX('Material Handling'!$C$10:$AH$33,MATCH(E$97,Material_Handling[Data],0),MATCH($Q34,'Material Handling'!$C$40:$AH$40,0)), IFERROR(INDEX('Drop Point'!$B$13:$M$36,MATCH(E$97,'Drop Point'!$B$13:$B$37,0),MATCH($Q34,'Drop Point'!$B$41:$M$41,0)),
IFERROR(INDEX('Control - Grain dscf'!$C$11:$N$27,MATCH(E$97,'Control - Grain dscf'!$B$11:$B$27,0),MATCH($Q34,'Control - Grain dscf'!$C$32:$N$32,0)),
IFERROR(INDEX('Control - Alt'!$C$9:$O$27,MATCH(E$97,'Control - Alt'!$B$9:$B$27,0),MATCH($Q34,'Control - Alt'!$C$32:$O$32,0)),
IFERROR(INDEX(Stockpile!$C$10:$M$26,MATCH(E$97,Stockpile!$B$10:$B$26,0),MATCH($Q34,Stockpile!$C$30:$M$30,0)),
IFERROR(INDEX('Asphalt Silo &amp; Unloading'!$D$10:$M$44,MATCH(E$97,'Asphalt Silo &amp; Unloading'!$B$10:$B$44,0),MATCH($Q34,'Asphalt Silo &amp; Unloading'!$D$49:$M$49,0)),""))))))</f>
        <v/>
      </c>
      <c r="F34" s="590" t="str">
        <f>IFERROR(INDEX('Material Handling'!$C$10:$AH$33,MATCH(F$97,Material_Handling[Data],0),MATCH($Q34,'Material Handling'!$C$40:$AH$40,0)), IFERROR(INDEX('Drop Point'!$B$13:$M$36,MATCH(F$97,'Drop Point'!$B$13:$B$37,0),MATCH($Q34,'Drop Point'!$B$41:$M$41,0)),
IFERROR(INDEX('Control - Grain dscf'!$C$11:$N$27,MATCH(F$97,'Control - Grain dscf'!$B$11:$B$27,0),MATCH($Q34,'Control - Grain dscf'!$C$32:$N$32,0)),
IFERROR(INDEX('Control - Alt'!$C$9:$O$27,MATCH(F$97,'Control - Alt'!$B$9:$B$27,0),MATCH($Q34,'Control - Alt'!$C$32:$O$32,0)),
IFERROR(INDEX(Stockpile!$C$10:$M$26,MATCH(F$97,Stockpile!$B$10:$B$26,0),MATCH($Q34,Stockpile!$C$30:$M$30,0)),
IFERROR(INDEX('Asphalt Silo &amp; Unloading'!$D$10:$M$44,MATCH(F$97,'Asphalt Silo &amp; Unloading'!$B$10:$B$44,0),MATCH($Q34,'Asphalt Silo &amp; Unloading'!$D$49:$M$49,0)),""))))))</f>
        <v/>
      </c>
      <c r="G34" s="590" t="str">
        <f>IFERROR(INDEX('Material Handling'!$C$10:$AH$33,MATCH(G$97,Material_Handling[Data],0),MATCH($Q34,'Material Handling'!$C$40:$AH$40,0)), IFERROR(INDEX('Drop Point'!$B$13:$M$36,MATCH(G$97,'Drop Point'!$B$13:$B$37,0),MATCH($Q34,'Drop Point'!$B$41:$M$41,0)),
IFERROR(INDEX('Control - Grain dscf'!$C$11:$N$27,MATCH(G$97,'Control - Grain dscf'!$B$11:$B$27,0),MATCH($Q34,'Control - Grain dscf'!$C$32:$N$32,0)),
IFERROR(INDEX('Control - Alt'!$C$9:$O$27,MATCH(G$97,'Control - Alt'!$B$9:$B$27,0),MATCH($Q34,'Control - Alt'!$C$32:$O$32,0)),
IFERROR(INDEX(Stockpile!$C$10:$M$26,MATCH(G$97,Stockpile!$B$10:$B$26,0),MATCH($Q34,Stockpile!$C$30:$M$30,0)),
IFERROR(INDEX('Asphalt Silo &amp; Unloading'!$D$10:$M$44,MATCH(G$97,'Asphalt Silo &amp; Unloading'!$B$10:$B$44,0),MATCH($Q34,'Asphalt Silo &amp; Unloading'!$D$49:$M$49,0)),""))))))</f>
        <v/>
      </c>
      <c r="H34" s="590" t="str">
        <f>IFERROR(INDEX('Material Handling'!$C$10:$AH$33,MATCH(H$97,Material_Handling[Data],0),MATCH($Q34,'Material Handling'!$C$40:$AH$40,0)), IFERROR(INDEX('Drop Point'!$B$13:$M$36,MATCH(H$97,'Drop Point'!$B$13:$B$37,0),MATCH($Q34,'Drop Point'!$B$41:$M$41,0)),
IFERROR(INDEX('Control - Grain dscf'!$C$11:$N$27,MATCH(H$97,'Control - Grain dscf'!$B$11:$B$27,0),MATCH($Q34,'Control - Grain dscf'!$C$32:$N$32,0)),
IFERROR(INDEX('Control - Alt'!$C$9:$O$27,MATCH(H$97,'Control - Alt'!$B$9:$B$27,0),MATCH($Q34,'Control - Alt'!$C$32:$O$32,0)),
IFERROR(INDEX(Stockpile!$C$10:$M$26,MATCH(H$97,Stockpile!$B$10:$B$26,0),MATCH($Q34,Stockpile!$C$30:$M$30,0)),
IFERROR(INDEX('Asphalt Silo &amp; Unloading'!$D$10:$M$44,MATCH(H$97,'Asphalt Silo &amp; Unloading'!$B$10:$B$44,0),MATCH($Q34,'Asphalt Silo &amp; Unloading'!$D$49:$M$49,0)),""))))))</f>
        <v/>
      </c>
      <c r="I34" s="590" t="str">
        <f>IFERROR(INDEX('Material Handling'!$C$10:$AH$33,MATCH(I$97,Material_Handling[Data],0),MATCH($Q34,'Material Handling'!$C$40:$AH$40,0)), IFERROR(INDEX('Drop Point'!$B$13:$M$36,MATCH(I$97,'Drop Point'!$B$13:$B$37,0),MATCH($Q34,'Drop Point'!$B$41:$M$41,0)),
IFERROR(INDEX('Control - Grain dscf'!$C$11:$N$27,MATCH(I$97,'Control - Grain dscf'!$B$11:$B$27,0),MATCH($Q34,'Control - Grain dscf'!$C$32:$N$32,0)),
IFERROR(INDEX('Control - Alt'!$C$9:$O$27,MATCH(I$97,'Control - Alt'!$B$9:$B$27,0),MATCH($Q34,'Control - Alt'!$C$32:$O$32,0)),
IFERROR(INDEX(Stockpile!$C$10:$M$26,MATCH(I$97,Stockpile!$B$10:$B$26,0),MATCH($Q34,Stockpile!$C$30:$M$30,0)),
IFERROR(INDEX('Asphalt Silo &amp; Unloading'!$D$10:$M$44,MATCH(I$97,'Asphalt Silo &amp; Unloading'!$B$10:$B$44,0),MATCH($Q34,'Asphalt Silo &amp; Unloading'!$D$49:$M$49,0)),""))))))</f>
        <v/>
      </c>
      <c r="J34" s="590" t="str">
        <f>IFERROR(INDEX('Material Handling'!$C$10:$AH$33,MATCH(J$97,Material_Handling[Data],0),MATCH($Q34,'Material Handling'!$C$40:$AH$40,0)), IFERROR(INDEX('Drop Point'!$B$13:$M$36,MATCH(J$97,'Drop Point'!$B$13:$B$37,0),MATCH($Q34,'Drop Point'!$B$41:$M$41,0)),
IFERROR(INDEX('Control - Grain dscf'!$C$11:$N$27,MATCH(J$97,'Control - Grain dscf'!$B$11:$B$27,0),MATCH($Q34,'Control - Grain dscf'!$C$32:$N$32,0)),
IFERROR(INDEX('Control - Alt'!$C$9:$O$27,MATCH(J$97,'Control - Alt'!$B$9:$B$27,0),MATCH($Q34,'Control - Alt'!$C$32:$O$32,0)),
IFERROR(INDEX(Stockpile!$C$10:$M$26,MATCH(J$97,Stockpile!$B$10:$B$26,0),MATCH($Q34,Stockpile!$C$30:$M$30,0)),
IFERROR(INDEX('Asphalt Silo &amp; Unloading'!$D$10:$M$44,MATCH(J$97,'Asphalt Silo &amp; Unloading'!$B$10:$B$44,0),MATCH($Q34,'Asphalt Silo &amp; Unloading'!$D$49:$M$49,0)),""))))))</f>
        <v/>
      </c>
      <c r="K34" s="590" t="str">
        <f>IFERROR(INDEX('Material Handling'!$C$10:$AH$33,MATCH(K$97,Material_Handling[Data],0),MATCH($Q34,'Material Handling'!$C$40:$AH$40,0)), IFERROR(INDEX('Drop Point'!$B$13:$M$36,MATCH(K$97,'Drop Point'!$B$13:$B$37,0),MATCH($Q34,'Drop Point'!$B$41:$M$41,0)),
IFERROR(INDEX('Control - Grain dscf'!$C$11:$N$27,MATCH(K$97,'Control - Grain dscf'!$B$11:$B$27,0),MATCH($Q34,'Control - Grain dscf'!$C$32:$N$32,0)),
IFERROR(INDEX('Control - Alt'!$C$9:$O$27,MATCH(K$97,'Control - Alt'!$B$9:$B$27,0),MATCH($Q34,'Control - Alt'!$C$32:$O$32,0)),
IFERROR(INDEX(Stockpile!$C$10:$M$26,MATCH(K$97,Stockpile!$B$10:$B$26,0),MATCH($Q34,Stockpile!$C$30:$M$30,0)),
IFERROR(INDEX('Asphalt Silo &amp; Unloading'!$D$10:$M$44,MATCH(K$97,'Asphalt Silo &amp; Unloading'!$B$10:$B$44,0),MATCH($Q34,'Asphalt Silo &amp; Unloading'!$D$49:$M$49,0)),""))))))</f>
        <v/>
      </c>
      <c r="L34" s="590" t="str">
        <f>IFERROR(INDEX('Material Handling'!$C$10:$AH$33,MATCH(L$97,Material_Handling[Data],0),MATCH($Q34,'Material Handling'!$C$40:$AH$40,0)), IFERROR(INDEX('Drop Point'!$B$13:$M$36,MATCH(L$97,'Drop Point'!$B$13:$B$37,0),MATCH($Q34,'Drop Point'!$B$41:$M$41,0)),
IFERROR(INDEX('Control - Grain dscf'!$C$11:$N$27,MATCH(L$97,'Control - Grain dscf'!$B$11:$B$27,0),MATCH($Q34,'Control - Grain dscf'!$C$32:$N$32,0)),
IFERROR(INDEX('Control - Alt'!$C$9:$O$27,MATCH(L$97,'Control - Alt'!$B$9:$B$27,0),MATCH($Q34,'Control - Alt'!$C$32:$O$32,0)),
IFERROR(INDEX(Stockpile!$C$10:$M$26,MATCH(L$97,Stockpile!$B$10:$B$26,0),MATCH($Q34,Stockpile!$C$30:$M$30,0)),
IFERROR(INDEX('Asphalt Silo &amp; Unloading'!$D$10:$M$44,MATCH(L$97,'Asphalt Silo &amp; Unloading'!$B$10:$B$44,0),MATCH($Q34,'Asphalt Silo &amp; Unloading'!$D$49:$M$49,0)),""))))))</f>
        <v/>
      </c>
      <c r="M34" s="590" t="str">
        <f>IFERROR(INDEX('Material Handling'!$C$10:$AH$33,MATCH(M$97,Material_Handling[Data],0),MATCH($Q34,'Material Handling'!$C$40:$AH$40,0)), IFERROR(INDEX('Drop Point'!$B$13:$M$36,MATCH(M$97,'Drop Point'!$B$13:$B$37,0),MATCH($Q34,'Drop Point'!$B$41:$M$41,0)),
IFERROR(INDEX('Control - Grain dscf'!$C$11:$N$27,MATCH(M$97,'Control - Grain dscf'!$B$11:$B$27,0),MATCH($Q34,'Control - Grain dscf'!$C$32:$N$32,0)),
IFERROR(INDEX('Control - Alt'!$C$9:$O$27,MATCH(M$97,'Control - Alt'!$B$9:$B$27,0),MATCH($Q34,'Control - Alt'!$C$32:$O$32,0)),
IFERROR(INDEX(Stockpile!$C$10:$M$26,MATCH(M$97,Stockpile!$B$10:$B$26,0),MATCH($Q34,Stockpile!$C$30:$M$30,0)),
IFERROR(INDEX('Asphalt Silo &amp; Unloading'!$D$10:$M$44,MATCH(M$97,'Asphalt Silo &amp; Unloading'!$B$10:$B$44,0),MATCH($Q34,'Asphalt Silo &amp; Unloading'!$D$49:$M$49,0)),""))))))</f>
        <v/>
      </c>
      <c r="N34" s="590" t="str">
        <f>IFERROR(INDEX('Material Handling'!$C$10:$AH$33,MATCH(N$97,Material_Handling[Data],0),MATCH($Q34,'Material Handling'!$C$40:$AH$40,0)), IFERROR(INDEX('Drop Point'!$B$13:$M$36,MATCH(N$97,'Drop Point'!$B$13:$B$37,0),MATCH($Q34,'Drop Point'!$B$41:$M$41,0)),
IFERROR(INDEX('Control - Grain dscf'!$C$11:$N$27,MATCH(N$97,'Control - Grain dscf'!$B$11:$B$27,0),MATCH($Q34,'Control - Grain dscf'!$C$32:$N$32,0)),
IFERROR(INDEX('Control - Alt'!$C$9:$O$27,MATCH(N$97,'Control - Alt'!$B$9:$B$27,0),MATCH($Q34,'Control - Alt'!$C$32:$O$32,0)),
IFERROR(INDEX(Stockpile!$C$10:$M$26,MATCH(N$97,Stockpile!$B$10:$B$26,0),MATCH($Q34,Stockpile!$C$30:$M$30,0)),
IFERROR(INDEX('Asphalt Silo &amp; Unloading'!$D$10:$M$44,MATCH(N$97,'Asphalt Silo &amp; Unloading'!$B$10:$B$44,0),MATCH($Q34,'Asphalt Silo &amp; Unloading'!$D$49:$M$49,0)),""))))))</f>
        <v/>
      </c>
      <c r="O34" s="591" t="str">
        <f>IFERROR(INDEX('Material Handling'!$C$10:$AH$33,MATCH(O$97,Material_Handling[Data],0),MATCH($Q34,'Material Handling'!$C$40:$AH$40,0)), IFERROR(INDEX('Drop Point'!$B$13:$M$36,MATCH(O$97,'Drop Point'!$B$13:$B$37,0),MATCH($Q34,'Drop Point'!$B$41:$M$41,0)),
IFERROR(INDEX('Control - Grain dscf'!$C$11:$N$27,MATCH(O$97,'Control - Grain dscf'!$B$11:$B$27,0),MATCH($Q34,'Control - Grain dscf'!$C$32:$N$32,0)),
IFERROR(INDEX('Control - Alt'!$C$9:$O$27,MATCH(O$97,'Control - Alt'!$B$9:$B$27,0),MATCH($Q34,'Control - Alt'!$C$32:$O$32,0)),
IFERROR(INDEX(Stockpile!$C$10:$M$26,MATCH(O$97,Stockpile!$B$10:$B$26,0),MATCH($Q34,Stockpile!$C$30:$M$30,0)),
IFERROR(INDEX('Asphalt Silo &amp; Unloading'!$D$10:$M$44,MATCH(O$97,'Asphalt Silo &amp; Unloading'!$B$10:$B$44,0),MATCH($Q34,'Asphalt Silo &amp; Unloading'!$D$49:$M$49,0)),""))))))</f>
        <v/>
      </c>
      <c r="Q34" s="131">
        <f t="shared" si="0"/>
        <v>26</v>
      </c>
    </row>
    <row r="35" spans="1:17" ht="20.100000000000001" customHeight="1">
      <c r="A35" s="293" t="str">
        <f>IFERROR(INDEX('Material Handling'!$C$10:$AH$33,MATCH(A$97,Material_Handling[Data],0),MATCH($Q35,'Material Handling'!$C$40:$AH$40,0)), IFERROR(INDEX('Drop Point'!$B$13:$M$36,MATCH(A$97,'Drop Point'!$B$13:$B$37,0),MATCH($Q35,'Drop Point'!$B$41:$M$41,0)),
IFERROR(INDEX('Control - Grain dscf'!$C$11:$N$27,MATCH(A$97,'Control - Grain dscf'!$B$11:$B$27,0),MATCH($Q35,'Control - Grain dscf'!$C$32:$N$32,0)),
IFERROR(INDEX('Control - Alt'!$C$9:$O$27,MATCH(A$97,'Control - Alt'!$B$9:$B$27,0),MATCH($Q35,'Control - Alt'!$C$32:$O$32,0)),
IFERROR(INDEX(Stockpile!$C$10:$M$26,MATCH(A$97,Stockpile!$B$10:$B$26,0),MATCH($Q35,Stockpile!$C$30:$M$30,0)),
IFERROR(INDEX('Asphalt Silo &amp; Unloading'!$D$10:$M$44,MATCH(A$97,'Asphalt Silo &amp; Unloading'!$B$10:$B$44,0),MATCH($Q35,'Asphalt Silo &amp; Unloading'!$D$49:$M$49,0)),""))))))</f>
        <v/>
      </c>
      <c r="B35" s="135" t="str">
        <f>IFERROR(INDEX('Material Handling'!$C$10:$AH$33,MATCH(B$97,Material_Handling[Data],0),MATCH($Q35,'Material Handling'!$C$40:$AH$40,0)), IFERROR(INDEX('Drop Point'!$B$13:$M$36,MATCH(B$97,'Drop Point'!$B$13:$B$37,0),MATCH($Q35,'Drop Point'!$B$41:$M$41,0)),
IFERROR(INDEX('Control - Grain dscf'!$C$11:$N$27,MATCH(B$97,'Control - Grain dscf'!$B$11:$B$27,0),MATCH($Q35,'Control - Grain dscf'!$C$32:$N$32,0)),
IFERROR(INDEX('Control - Alt'!$C$9:$O$27,MATCH(B$97,'Control - Alt'!$B$9:$B$27,0),MATCH($Q35,'Control - Alt'!$C$32:$O$32,0)),
IFERROR(INDEX(Stockpile!$C$10:$M$26,MATCH(B$97,Stockpile!$B$10:$B$26,0),MATCH($Q35,Stockpile!$C$30:$M$30,0)),
IFERROR(INDEX('Asphalt Silo &amp; Unloading'!$D$10:$M$44,MATCH(B$97,'Asphalt Silo &amp; Unloading'!$B$10:$B$44,0),MATCH($Q35,'Asphalt Silo &amp; Unloading'!$D$49:$M$49,0)),""))))))</f>
        <v/>
      </c>
      <c r="C35" s="135" t="str">
        <f>IFERROR(INDEX('Material Handling'!$C$10:$AH$33,MATCH(C$97,Material_Handling[Data],0),MATCH($Q35,'Material Handling'!$C$40:$AH$40,0)), IFERROR(INDEX('Drop Point'!$B$13:$M$36,MATCH(C$97,'Drop Point'!$B$13:$B$37,0),MATCH($Q35,'Drop Point'!$B$41:$M$41,0)),
IFERROR(INDEX('Control - Grain dscf'!$C$11:$N$27,MATCH(C$97,'Control - Grain dscf'!$B$11:$B$27,0),MATCH($Q35,'Control - Grain dscf'!$C$32:$N$32,0)),
IFERROR(INDEX('Control - Alt'!$C$9:$O$27,MATCH(C$97,'Control - Alt'!$B$9:$B$27,0),MATCH($Q35,'Control - Alt'!$C$32:$O$32,0)),
IFERROR(INDEX(Stockpile!$C$10:$M$26,MATCH(C$97,Stockpile!$B$10:$B$26,0),MATCH($Q35,Stockpile!$C$30:$M$30,0)),
IFERROR(INDEX('Asphalt Silo &amp; Unloading'!$D$10:$M$44,MATCH(C$97,'Asphalt Silo &amp; Unloading'!$B$10:$B$44,0),MATCH($Q35,'Asphalt Silo &amp; Unloading'!$D$49:$M$49,0)),""))))))</f>
        <v/>
      </c>
      <c r="D35" s="135" t="str">
        <f>IFERROR(INDEX('Material Handling'!$C$10:$AH$33,MATCH(D$97,Material_Handling[Data],0),MATCH($Q35,'Material Handling'!$C$40:$AH$40,0)), IFERROR(INDEX('Drop Point'!$B$13:$M$36,MATCH(D$97,'Drop Point'!$B$13:$B$37,0),MATCH($Q35,'Drop Point'!$B$41:$M$41,0)),
IFERROR(INDEX('Control - Grain dscf'!$C$11:$N$27,MATCH(D$97,'Control - Grain dscf'!$B$11:$B$27,0),MATCH($Q35,'Control - Grain dscf'!$C$32:$N$32,0)),
IFERROR(INDEX('Control - Alt'!$C$9:$O$27,MATCH(D$97,'Control - Alt'!$B$9:$B$27,0),MATCH($Q35,'Control - Alt'!$C$32:$O$32,0)),
IFERROR(INDEX(Stockpile!$C$10:$M$26,MATCH(D$97,Stockpile!$B$10:$B$26,0),MATCH($Q35,Stockpile!$C$30:$M$30,0)),
IFERROR(INDEX('Asphalt Silo &amp; Unloading'!$D$10:$M$44,MATCH(D$97,'Asphalt Silo &amp; Unloading'!$B$10:$B$44,0),MATCH($Q35,'Asphalt Silo &amp; Unloading'!$D$49:$M$49,0)),""))))))</f>
        <v/>
      </c>
      <c r="E35" s="620" t="str">
        <f>IFERROR(INDEX('Material Handling'!$C$10:$AH$33,MATCH(E$97,Material_Handling[Data],0),MATCH($Q35,'Material Handling'!$C$40:$AH$40,0)), IFERROR(INDEX('Drop Point'!$B$13:$M$36,MATCH(E$97,'Drop Point'!$B$13:$B$37,0),MATCH($Q35,'Drop Point'!$B$41:$M$41,0)),
IFERROR(INDEX('Control - Grain dscf'!$C$11:$N$27,MATCH(E$97,'Control - Grain dscf'!$B$11:$B$27,0),MATCH($Q35,'Control - Grain dscf'!$C$32:$N$32,0)),
IFERROR(INDEX('Control - Alt'!$C$9:$O$27,MATCH(E$97,'Control - Alt'!$B$9:$B$27,0),MATCH($Q35,'Control - Alt'!$C$32:$O$32,0)),
IFERROR(INDEX(Stockpile!$C$10:$M$26,MATCH(E$97,Stockpile!$B$10:$B$26,0),MATCH($Q35,Stockpile!$C$30:$M$30,0)),
IFERROR(INDEX('Asphalt Silo &amp; Unloading'!$D$10:$M$44,MATCH(E$97,'Asphalt Silo &amp; Unloading'!$B$10:$B$44,0),MATCH($Q35,'Asphalt Silo &amp; Unloading'!$D$49:$M$49,0)),""))))))</f>
        <v/>
      </c>
      <c r="F35" s="590" t="str">
        <f>IFERROR(INDEX('Material Handling'!$C$10:$AH$33,MATCH(F$97,Material_Handling[Data],0),MATCH($Q35,'Material Handling'!$C$40:$AH$40,0)), IFERROR(INDEX('Drop Point'!$B$13:$M$36,MATCH(F$97,'Drop Point'!$B$13:$B$37,0),MATCH($Q35,'Drop Point'!$B$41:$M$41,0)),
IFERROR(INDEX('Control - Grain dscf'!$C$11:$N$27,MATCH(F$97,'Control - Grain dscf'!$B$11:$B$27,0),MATCH($Q35,'Control - Grain dscf'!$C$32:$N$32,0)),
IFERROR(INDEX('Control - Alt'!$C$9:$O$27,MATCH(F$97,'Control - Alt'!$B$9:$B$27,0),MATCH($Q35,'Control - Alt'!$C$32:$O$32,0)),
IFERROR(INDEX(Stockpile!$C$10:$M$26,MATCH(F$97,Stockpile!$B$10:$B$26,0),MATCH($Q35,Stockpile!$C$30:$M$30,0)),
IFERROR(INDEX('Asphalt Silo &amp; Unloading'!$D$10:$M$44,MATCH(F$97,'Asphalt Silo &amp; Unloading'!$B$10:$B$44,0),MATCH($Q35,'Asphalt Silo &amp; Unloading'!$D$49:$M$49,0)),""))))))</f>
        <v/>
      </c>
      <c r="G35" s="590" t="str">
        <f>IFERROR(INDEX('Material Handling'!$C$10:$AH$33,MATCH(G$97,Material_Handling[Data],0),MATCH($Q35,'Material Handling'!$C$40:$AH$40,0)), IFERROR(INDEX('Drop Point'!$B$13:$M$36,MATCH(G$97,'Drop Point'!$B$13:$B$37,0),MATCH($Q35,'Drop Point'!$B$41:$M$41,0)),
IFERROR(INDEX('Control - Grain dscf'!$C$11:$N$27,MATCH(G$97,'Control - Grain dscf'!$B$11:$B$27,0),MATCH($Q35,'Control - Grain dscf'!$C$32:$N$32,0)),
IFERROR(INDEX('Control - Alt'!$C$9:$O$27,MATCH(G$97,'Control - Alt'!$B$9:$B$27,0),MATCH($Q35,'Control - Alt'!$C$32:$O$32,0)),
IFERROR(INDEX(Stockpile!$C$10:$M$26,MATCH(G$97,Stockpile!$B$10:$B$26,0),MATCH($Q35,Stockpile!$C$30:$M$30,0)),
IFERROR(INDEX('Asphalt Silo &amp; Unloading'!$D$10:$M$44,MATCH(G$97,'Asphalt Silo &amp; Unloading'!$B$10:$B$44,0),MATCH($Q35,'Asphalt Silo &amp; Unloading'!$D$49:$M$49,0)),""))))))</f>
        <v/>
      </c>
      <c r="H35" s="590" t="str">
        <f>IFERROR(INDEX('Material Handling'!$C$10:$AH$33,MATCH(H$97,Material_Handling[Data],0),MATCH($Q35,'Material Handling'!$C$40:$AH$40,0)), IFERROR(INDEX('Drop Point'!$B$13:$M$36,MATCH(H$97,'Drop Point'!$B$13:$B$37,0),MATCH($Q35,'Drop Point'!$B$41:$M$41,0)),
IFERROR(INDEX('Control - Grain dscf'!$C$11:$N$27,MATCH(H$97,'Control - Grain dscf'!$B$11:$B$27,0),MATCH($Q35,'Control - Grain dscf'!$C$32:$N$32,0)),
IFERROR(INDEX('Control - Alt'!$C$9:$O$27,MATCH(H$97,'Control - Alt'!$B$9:$B$27,0),MATCH($Q35,'Control - Alt'!$C$32:$O$32,0)),
IFERROR(INDEX(Stockpile!$C$10:$M$26,MATCH(H$97,Stockpile!$B$10:$B$26,0),MATCH($Q35,Stockpile!$C$30:$M$30,0)),
IFERROR(INDEX('Asphalt Silo &amp; Unloading'!$D$10:$M$44,MATCH(H$97,'Asphalt Silo &amp; Unloading'!$B$10:$B$44,0),MATCH($Q35,'Asphalt Silo &amp; Unloading'!$D$49:$M$49,0)),""))))))</f>
        <v/>
      </c>
      <c r="I35" s="590" t="str">
        <f>IFERROR(INDEX('Material Handling'!$C$10:$AH$33,MATCH(I$97,Material_Handling[Data],0),MATCH($Q35,'Material Handling'!$C$40:$AH$40,0)), IFERROR(INDEX('Drop Point'!$B$13:$M$36,MATCH(I$97,'Drop Point'!$B$13:$B$37,0),MATCH($Q35,'Drop Point'!$B$41:$M$41,0)),
IFERROR(INDEX('Control - Grain dscf'!$C$11:$N$27,MATCH(I$97,'Control - Grain dscf'!$B$11:$B$27,0),MATCH($Q35,'Control - Grain dscf'!$C$32:$N$32,0)),
IFERROR(INDEX('Control - Alt'!$C$9:$O$27,MATCH(I$97,'Control - Alt'!$B$9:$B$27,0),MATCH($Q35,'Control - Alt'!$C$32:$O$32,0)),
IFERROR(INDEX(Stockpile!$C$10:$M$26,MATCH(I$97,Stockpile!$B$10:$B$26,0),MATCH($Q35,Stockpile!$C$30:$M$30,0)),
IFERROR(INDEX('Asphalt Silo &amp; Unloading'!$D$10:$M$44,MATCH(I$97,'Asphalt Silo &amp; Unloading'!$B$10:$B$44,0),MATCH($Q35,'Asphalt Silo &amp; Unloading'!$D$49:$M$49,0)),""))))))</f>
        <v/>
      </c>
      <c r="J35" s="590" t="str">
        <f>IFERROR(INDEX('Material Handling'!$C$10:$AH$33,MATCH(J$97,Material_Handling[Data],0),MATCH($Q35,'Material Handling'!$C$40:$AH$40,0)), IFERROR(INDEX('Drop Point'!$B$13:$M$36,MATCH(J$97,'Drop Point'!$B$13:$B$37,0),MATCH($Q35,'Drop Point'!$B$41:$M$41,0)),
IFERROR(INDEX('Control - Grain dscf'!$C$11:$N$27,MATCH(J$97,'Control - Grain dscf'!$B$11:$B$27,0),MATCH($Q35,'Control - Grain dscf'!$C$32:$N$32,0)),
IFERROR(INDEX('Control - Alt'!$C$9:$O$27,MATCH(J$97,'Control - Alt'!$B$9:$B$27,0),MATCH($Q35,'Control - Alt'!$C$32:$O$32,0)),
IFERROR(INDEX(Stockpile!$C$10:$M$26,MATCH(J$97,Stockpile!$B$10:$B$26,0),MATCH($Q35,Stockpile!$C$30:$M$30,0)),
IFERROR(INDEX('Asphalt Silo &amp; Unloading'!$D$10:$M$44,MATCH(J$97,'Asphalt Silo &amp; Unloading'!$B$10:$B$44,0),MATCH($Q35,'Asphalt Silo &amp; Unloading'!$D$49:$M$49,0)),""))))))</f>
        <v/>
      </c>
      <c r="K35" s="590" t="str">
        <f>IFERROR(INDEX('Material Handling'!$C$10:$AH$33,MATCH(K$97,Material_Handling[Data],0),MATCH($Q35,'Material Handling'!$C$40:$AH$40,0)), IFERROR(INDEX('Drop Point'!$B$13:$M$36,MATCH(K$97,'Drop Point'!$B$13:$B$37,0),MATCH($Q35,'Drop Point'!$B$41:$M$41,0)),
IFERROR(INDEX('Control - Grain dscf'!$C$11:$N$27,MATCH(K$97,'Control - Grain dscf'!$B$11:$B$27,0),MATCH($Q35,'Control - Grain dscf'!$C$32:$N$32,0)),
IFERROR(INDEX('Control - Alt'!$C$9:$O$27,MATCH(K$97,'Control - Alt'!$B$9:$B$27,0),MATCH($Q35,'Control - Alt'!$C$32:$O$32,0)),
IFERROR(INDEX(Stockpile!$C$10:$M$26,MATCH(K$97,Stockpile!$B$10:$B$26,0),MATCH($Q35,Stockpile!$C$30:$M$30,0)),
IFERROR(INDEX('Asphalt Silo &amp; Unloading'!$D$10:$M$44,MATCH(K$97,'Asphalt Silo &amp; Unloading'!$B$10:$B$44,0),MATCH($Q35,'Asphalt Silo &amp; Unloading'!$D$49:$M$49,0)),""))))))</f>
        <v/>
      </c>
      <c r="L35" s="590" t="str">
        <f>IFERROR(INDEX('Material Handling'!$C$10:$AH$33,MATCH(L$97,Material_Handling[Data],0),MATCH($Q35,'Material Handling'!$C$40:$AH$40,0)), IFERROR(INDEX('Drop Point'!$B$13:$M$36,MATCH(L$97,'Drop Point'!$B$13:$B$37,0),MATCH($Q35,'Drop Point'!$B$41:$M$41,0)),
IFERROR(INDEX('Control - Grain dscf'!$C$11:$N$27,MATCH(L$97,'Control - Grain dscf'!$B$11:$B$27,0),MATCH($Q35,'Control - Grain dscf'!$C$32:$N$32,0)),
IFERROR(INDEX('Control - Alt'!$C$9:$O$27,MATCH(L$97,'Control - Alt'!$B$9:$B$27,0),MATCH($Q35,'Control - Alt'!$C$32:$O$32,0)),
IFERROR(INDEX(Stockpile!$C$10:$M$26,MATCH(L$97,Stockpile!$B$10:$B$26,0),MATCH($Q35,Stockpile!$C$30:$M$30,0)),
IFERROR(INDEX('Asphalt Silo &amp; Unloading'!$D$10:$M$44,MATCH(L$97,'Asphalt Silo &amp; Unloading'!$B$10:$B$44,0),MATCH($Q35,'Asphalt Silo &amp; Unloading'!$D$49:$M$49,0)),""))))))</f>
        <v/>
      </c>
      <c r="M35" s="590" t="str">
        <f>IFERROR(INDEX('Material Handling'!$C$10:$AH$33,MATCH(M$97,Material_Handling[Data],0),MATCH($Q35,'Material Handling'!$C$40:$AH$40,0)), IFERROR(INDEX('Drop Point'!$B$13:$M$36,MATCH(M$97,'Drop Point'!$B$13:$B$37,0),MATCH($Q35,'Drop Point'!$B$41:$M$41,0)),
IFERROR(INDEX('Control - Grain dscf'!$C$11:$N$27,MATCH(M$97,'Control - Grain dscf'!$B$11:$B$27,0),MATCH($Q35,'Control - Grain dscf'!$C$32:$N$32,0)),
IFERROR(INDEX('Control - Alt'!$C$9:$O$27,MATCH(M$97,'Control - Alt'!$B$9:$B$27,0),MATCH($Q35,'Control - Alt'!$C$32:$O$32,0)),
IFERROR(INDEX(Stockpile!$C$10:$M$26,MATCH(M$97,Stockpile!$B$10:$B$26,0),MATCH($Q35,Stockpile!$C$30:$M$30,0)),
IFERROR(INDEX('Asphalt Silo &amp; Unloading'!$D$10:$M$44,MATCH(M$97,'Asphalt Silo &amp; Unloading'!$B$10:$B$44,0),MATCH($Q35,'Asphalt Silo &amp; Unloading'!$D$49:$M$49,0)),""))))))</f>
        <v/>
      </c>
      <c r="N35" s="590" t="str">
        <f>IFERROR(INDEX('Material Handling'!$C$10:$AH$33,MATCH(N$97,Material_Handling[Data],0),MATCH($Q35,'Material Handling'!$C$40:$AH$40,0)), IFERROR(INDEX('Drop Point'!$B$13:$M$36,MATCH(N$97,'Drop Point'!$B$13:$B$37,0),MATCH($Q35,'Drop Point'!$B$41:$M$41,0)),
IFERROR(INDEX('Control - Grain dscf'!$C$11:$N$27,MATCH(N$97,'Control - Grain dscf'!$B$11:$B$27,0),MATCH($Q35,'Control - Grain dscf'!$C$32:$N$32,0)),
IFERROR(INDEX('Control - Alt'!$C$9:$O$27,MATCH(N$97,'Control - Alt'!$B$9:$B$27,0),MATCH($Q35,'Control - Alt'!$C$32:$O$32,0)),
IFERROR(INDEX(Stockpile!$C$10:$M$26,MATCH(N$97,Stockpile!$B$10:$B$26,0),MATCH($Q35,Stockpile!$C$30:$M$30,0)),
IFERROR(INDEX('Asphalt Silo &amp; Unloading'!$D$10:$M$44,MATCH(N$97,'Asphalt Silo &amp; Unloading'!$B$10:$B$44,0),MATCH($Q35,'Asphalt Silo &amp; Unloading'!$D$49:$M$49,0)),""))))))</f>
        <v/>
      </c>
      <c r="O35" s="591" t="str">
        <f>IFERROR(INDEX('Material Handling'!$C$10:$AH$33,MATCH(O$97,Material_Handling[Data],0),MATCH($Q35,'Material Handling'!$C$40:$AH$40,0)), IFERROR(INDEX('Drop Point'!$B$13:$M$36,MATCH(O$97,'Drop Point'!$B$13:$B$37,0),MATCH($Q35,'Drop Point'!$B$41:$M$41,0)),
IFERROR(INDEX('Control - Grain dscf'!$C$11:$N$27,MATCH(O$97,'Control - Grain dscf'!$B$11:$B$27,0),MATCH($Q35,'Control - Grain dscf'!$C$32:$N$32,0)),
IFERROR(INDEX('Control - Alt'!$C$9:$O$27,MATCH(O$97,'Control - Alt'!$B$9:$B$27,0),MATCH($Q35,'Control - Alt'!$C$32:$O$32,0)),
IFERROR(INDEX(Stockpile!$C$10:$M$26,MATCH(O$97,Stockpile!$B$10:$B$26,0),MATCH($Q35,Stockpile!$C$30:$M$30,0)),
IFERROR(INDEX('Asphalt Silo &amp; Unloading'!$D$10:$M$44,MATCH(O$97,'Asphalt Silo &amp; Unloading'!$B$10:$B$44,0),MATCH($Q35,'Asphalt Silo &amp; Unloading'!$D$49:$M$49,0)),""))))))</f>
        <v/>
      </c>
      <c r="Q35" s="131">
        <f t="shared" si="0"/>
        <v>27</v>
      </c>
    </row>
    <row r="36" spans="1:17" ht="20.100000000000001" customHeight="1">
      <c r="A36" s="293" t="str">
        <f>IFERROR(INDEX('Material Handling'!$C$10:$AH$33,MATCH(A$97,Material_Handling[Data],0),MATCH($Q36,'Material Handling'!$C$40:$AH$40,0)), IFERROR(INDEX('Drop Point'!$B$13:$M$36,MATCH(A$97,'Drop Point'!$B$13:$B$37,0),MATCH($Q36,'Drop Point'!$B$41:$M$41,0)),
IFERROR(INDEX('Control - Grain dscf'!$C$11:$N$27,MATCH(A$97,'Control - Grain dscf'!$B$11:$B$27,0),MATCH($Q36,'Control - Grain dscf'!$C$32:$N$32,0)),
IFERROR(INDEX('Control - Alt'!$C$9:$O$27,MATCH(A$97,'Control - Alt'!$B$9:$B$27,0),MATCH($Q36,'Control - Alt'!$C$32:$O$32,0)),
IFERROR(INDEX(Stockpile!$C$10:$M$26,MATCH(A$97,Stockpile!$B$10:$B$26,0),MATCH($Q36,Stockpile!$C$30:$M$30,0)),
IFERROR(INDEX('Asphalt Silo &amp; Unloading'!$D$10:$M$44,MATCH(A$97,'Asphalt Silo &amp; Unloading'!$B$10:$B$44,0),MATCH($Q36,'Asphalt Silo &amp; Unloading'!$D$49:$M$49,0)),""))))))</f>
        <v/>
      </c>
      <c r="B36" s="135" t="str">
        <f>IFERROR(INDEX('Material Handling'!$C$10:$AH$33,MATCH(B$97,Material_Handling[Data],0),MATCH($Q36,'Material Handling'!$C$40:$AH$40,0)), IFERROR(INDEX('Drop Point'!$B$13:$M$36,MATCH(B$97,'Drop Point'!$B$13:$B$37,0),MATCH($Q36,'Drop Point'!$B$41:$M$41,0)),
IFERROR(INDEX('Control - Grain dscf'!$C$11:$N$27,MATCH(B$97,'Control - Grain dscf'!$B$11:$B$27,0),MATCH($Q36,'Control - Grain dscf'!$C$32:$N$32,0)),
IFERROR(INDEX('Control - Alt'!$C$9:$O$27,MATCH(B$97,'Control - Alt'!$B$9:$B$27,0),MATCH($Q36,'Control - Alt'!$C$32:$O$32,0)),
IFERROR(INDEX(Stockpile!$C$10:$M$26,MATCH(B$97,Stockpile!$B$10:$B$26,0),MATCH($Q36,Stockpile!$C$30:$M$30,0)),
IFERROR(INDEX('Asphalt Silo &amp; Unloading'!$D$10:$M$44,MATCH(B$97,'Asphalt Silo &amp; Unloading'!$B$10:$B$44,0),MATCH($Q36,'Asphalt Silo &amp; Unloading'!$D$49:$M$49,0)),""))))))</f>
        <v/>
      </c>
      <c r="C36" s="135" t="str">
        <f>IFERROR(INDEX('Material Handling'!$C$10:$AH$33,MATCH(C$97,Material_Handling[Data],0),MATCH($Q36,'Material Handling'!$C$40:$AH$40,0)), IFERROR(INDEX('Drop Point'!$B$13:$M$36,MATCH(C$97,'Drop Point'!$B$13:$B$37,0),MATCH($Q36,'Drop Point'!$B$41:$M$41,0)),
IFERROR(INDEX('Control - Grain dscf'!$C$11:$N$27,MATCH(C$97,'Control - Grain dscf'!$B$11:$B$27,0),MATCH($Q36,'Control - Grain dscf'!$C$32:$N$32,0)),
IFERROR(INDEX('Control - Alt'!$C$9:$O$27,MATCH(C$97,'Control - Alt'!$B$9:$B$27,0),MATCH($Q36,'Control - Alt'!$C$32:$O$32,0)),
IFERROR(INDEX(Stockpile!$C$10:$M$26,MATCH(C$97,Stockpile!$B$10:$B$26,0),MATCH($Q36,Stockpile!$C$30:$M$30,0)),
IFERROR(INDEX('Asphalt Silo &amp; Unloading'!$D$10:$M$44,MATCH(C$97,'Asphalt Silo &amp; Unloading'!$B$10:$B$44,0),MATCH($Q36,'Asphalt Silo &amp; Unloading'!$D$49:$M$49,0)),""))))))</f>
        <v/>
      </c>
      <c r="D36" s="135" t="str">
        <f>IFERROR(INDEX('Material Handling'!$C$10:$AH$33,MATCH(D$97,Material_Handling[Data],0),MATCH($Q36,'Material Handling'!$C$40:$AH$40,0)), IFERROR(INDEX('Drop Point'!$B$13:$M$36,MATCH(D$97,'Drop Point'!$B$13:$B$37,0),MATCH($Q36,'Drop Point'!$B$41:$M$41,0)),
IFERROR(INDEX('Control - Grain dscf'!$C$11:$N$27,MATCH(D$97,'Control - Grain dscf'!$B$11:$B$27,0),MATCH($Q36,'Control - Grain dscf'!$C$32:$N$32,0)),
IFERROR(INDEX('Control - Alt'!$C$9:$O$27,MATCH(D$97,'Control - Alt'!$B$9:$B$27,0),MATCH($Q36,'Control - Alt'!$C$32:$O$32,0)),
IFERROR(INDEX(Stockpile!$C$10:$M$26,MATCH(D$97,Stockpile!$B$10:$B$26,0),MATCH($Q36,Stockpile!$C$30:$M$30,0)),
IFERROR(INDEX('Asphalt Silo &amp; Unloading'!$D$10:$M$44,MATCH(D$97,'Asphalt Silo &amp; Unloading'!$B$10:$B$44,0),MATCH($Q36,'Asphalt Silo &amp; Unloading'!$D$49:$M$49,0)),""))))))</f>
        <v/>
      </c>
      <c r="E36" s="620" t="str">
        <f>IFERROR(INDEX('Material Handling'!$C$10:$AH$33,MATCH(E$97,Material_Handling[Data],0),MATCH($Q36,'Material Handling'!$C$40:$AH$40,0)), IFERROR(INDEX('Drop Point'!$B$13:$M$36,MATCH(E$97,'Drop Point'!$B$13:$B$37,0),MATCH($Q36,'Drop Point'!$B$41:$M$41,0)),
IFERROR(INDEX('Control - Grain dscf'!$C$11:$N$27,MATCH(E$97,'Control - Grain dscf'!$B$11:$B$27,0),MATCH($Q36,'Control - Grain dscf'!$C$32:$N$32,0)),
IFERROR(INDEX('Control - Alt'!$C$9:$O$27,MATCH(E$97,'Control - Alt'!$B$9:$B$27,0),MATCH($Q36,'Control - Alt'!$C$32:$O$32,0)),
IFERROR(INDEX(Stockpile!$C$10:$M$26,MATCH(E$97,Stockpile!$B$10:$B$26,0),MATCH($Q36,Stockpile!$C$30:$M$30,0)),
IFERROR(INDEX('Asphalt Silo &amp; Unloading'!$D$10:$M$44,MATCH(E$97,'Asphalt Silo &amp; Unloading'!$B$10:$B$44,0),MATCH($Q36,'Asphalt Silo &amp; Unloading'!$D$49:$M$49,0)),""))))))</f>
        <v/>
      </c>
      <c r="F36" s="590" t="str">
        <f>IFERROR(INDEX('Material Handling'!$C$10:$AH$33,MATCH(F$97,Material_Handling[Data],0),MATCH($Q36,'Material Handling'!$C$40:$AH$40,0)), IFERROR(INDEX('Drop Point'!$B$13:$M$36,MATCH(F$97,'Drop Point'!$B$13:$B$37,0),MATCH($Q36,'Drop Point'!$B$41:$M$41,0)),
IFERROR(INDEX('Control - Grain dscf'!$C$11:$N$27,MATCH(F$97,'Control - Grain dscf'!$B$11:$B$27,0),MATCH($Q36,'Control - Grain dscf'!$C$32:$N$32,0)),
IFERROR(INDEX('Control - Alt'!$C$9:$O$27,MATCH(F$97,'Control - Alt'!$B$9:$B$27,0),MATCH($Q36,'Control - Alt'!$C$32:$O$32,0)),
IFERROR(INDEX(Stockpile!$C$10:$M$26,MATCH(F$97,Stockpile!$B$10:$B$26,0),MATCH($Q36,Stockpile!$C$30:$M$30,0)),
IFERROR(INDEX('Asphalt Silo &amp; Unloading'!$D$10:$M$44,MATCH(F$97,'Asphalt Silo &amp; Unloading'!$B$10:$B$44,0),MATCH($Q36,'Asphalt Silo &amp; Unloading'!$D$49:$M$49,0)),""))))))</f>
        <v/>
      </c>
      <c r="G36" s="590" t="str">
        <f>IFERROR(INDEX('Material Handling'!$C$10:$AH$33,MATCH(G$97,Material_Handling[Data],0),MATCH($Q36,'Material Handling'!$C$40:$AH$40,0)), IFERROR(INDEX('Drop Point'!$B$13:$M$36,MATCH(G$97,'Drop Point'!$B$13:$B$37,0),MATCH($Q36,'Drop Point'!$B$41:$M$41,0)),
IFERROR(INDEX('Control - Grain dscf'!$C$11:$N$27,MATCH(G$97,'Control - Grain dscf'!$B$11:$B$27,0),MATCH($Q36,'Control - Grain dscf'!$C$32:$N$32,0)),
IFERROR(INDEX('Control - Alt'!$C$9:$O$27,MATCH(G$97,'Control - Alt'!$B$9:$B$27,0),MATCH($Q36,'Control - Alt'!$C$32:$O$32,0)),
IFERROR(INDEX(Stockpile!$C$10:$M$26,MATCH(G$97,Stockpile!$B$10:$B$26,0),MATCH($Q36,Stockpile!$C$30:$M$30,0)),
IFERROR(INDEX('Asphalt Silo &amp; Unloading'!$D$10:$M$44,MATCH(G$97,'Asphalt Silo &amp; Unloading'!$B$10:$B$44,0),MATCH($Q36,'Asphalt Silo &amp; Unloading'!$D$49:$M$49,0)),""))))))</f>
        <v/>
      </c>
      <c r="H36" s="590" t="str">
        <f>IFERROR(INDEX('Material Handling'!$C$10:$AH$33,MATCH(H$97,Material_Handling[Data],0),MATCH($Q36,'Material Handling'!$C$40:$AH$40,0)), IFERROR(INDEX('Drop Point'!$B$13:$M$36,MATCH(H$97,'Drop Point'!$B$13:$B$37,0),MATCH($Q36,'Drop Point'!$B$41:$M$41,0)),
IFERROR(INDEX('Control - Grain dscf'!$C$11:$N$27,MATCH(H$97,'Control - Grain dscf'!$B$11:$B$27,0),MATCH($Q36,'Control - Grain dscf'!$C$32:$N$32,0)),
IFERROR(INDEX('Control - Alt'!$C$9:$O$27,MATCH(H$97,'Control - Alt'!$B$9:$B$27,0),MATCH($Q36,'Control - Alt'!$C$32:$O$32,0)),
IFERROR(INDEX(Stockpile!$C$10:$M$26,MATCH(H$97,Stockpile!$B$10:$B$26,0),MATCH($Q36,Stockpile!$C$30:$M$30,0)),
IFERROR(INDEX('Asphalt Silo &amp; Unloading'!$D$10:$M$44,MATCH(H$97,'Asphalt Silo &amp; Unloading'!$B$10:$B$44,0),MATCH($Q36,'Asphalt Silo &amp; Unloading'!$D$49:$M$49,0)),""))))))</f>
        <v/>
      </c>
      <c r="I36" s="590" t="str">
        <f>IFERROR(INDEX('Material Handling'!$C$10:$AH$33,MATCH(I$97,Material_Handling[Data],0),MATCH($Q36,'Material Handling'!$C$40:$AH$40,0)), IFERROR(INDEX('Drop Point'!$B$13:$M$36,MATCH(I$97,'Drop Point'!$B$13:$B$37,0),MATCH($Q36,'Drop Point'!$B$41:$M$41,0)),
IFERROR(INDEX('Control - Grain dscf'!$C$11:$N$27,MATCH(I$97,'Control - Grain dscf'!$B$11:$B$27,0),MATCH($Q36,'Control - Grain dscf'!$C$32:$N$32,0)),
IFERROR(INDEX('Control - Alt'!$C$9:$O$27,MATCH(I$97,'Control - Alt'!$B$9:$B$27,0),MATCH($Q36,'Control - Alt'!$C$32:$O$32,0)),
IFERROR(INDEX(Stockpile!$C$10:$M$26,MATCH(I$97,Stockpile!$B$10:$B$26,0),MATCH($Q36,Stockpile!$C$30:$M$30,0)),
IFERROR(INDEX('Asphalt Silo &amp; Unloading'!$D$10:$M$44,MATCH(I$97,'Asphalt Silo &amp; Unloading'!$B$10:$B$44,0),MATCH($Q36,'Asphalt Silo &amp; Unloading'!$D$49:$M$49,0)),""))))))</f>
        <v/>
      </c>
      <c r="J36" s="590" t="str">
        <f>IFERROR(INDEX('Material Handling'!$C$10:$AH$33,MATCH(J$97,Material_Handling[Data],0),MATCH($Q36,'Material Handling'!$C$40:$AH$40,0)), IFERROR(INDEX('Drop Point'!$B$13:$M$36,MATCH(J$97,'Drop Point'!$B$13:$B$37,0),MATCH($Q36,'Drop Point'!$B$41:$M$41,0)),
IFERROR(INDEX('Control - Grain dscf'!$C$11:$N$27,MATCH(J$97,'Control - Grain dscf'!$B$11:$B$27,0),MATCH($Q36,'Control - Grain dscf'!$C$32:$N$32,0)),
IFERROR(INDEX('Control - Alt'!$C$9:$O$27,MATCH(J$97,'Control - Alt'!$B$9:$B$27,0),MATCH($Q36,'Control - Alt'!$C$32:$O$32,0)),
IFERROR(INDEX(Stockpile!$C$10:$M$26,MATCH(J$97,Stockpile!$B$10:$B$26,0),MATCH($Q36,Stockpile!$C$30:$M$30,0)),
IFERROR(INDEX('Asphalt Silo &amp; Unloading'!$D$10:$M$44,MATCH(J$97,'Asphalt Silo &amp; Unloading'!$B$10:$B$44,0),MATCH($Q36,'Asphalt Silo &amp; Unloading'!$D$49:$M$49,0)),""))))))</f>
        <v/>
      </c>
      <c r="K36" s="590" t="str">
        <f>IFERROR(INDEX('Material Handling'!$C$10:$AH$33,MATCH(K$97,Material_Handling[Data],0),MATCH($Q36,'Material Handling'!$C$40:$AH$40,0)), IFERROR(INDEX('Drop Point'!$B$13:$M$36,MATCH(K$97,'Drop Point'!$B$13:$B$37,0),MATCH($Q36,'Drop Point'!$B$41:$M$41,0)),
IFERROR(INDEX('Control - Grain dscf'!$C$11:$N$27,MATCH(K$97,'Control - Grain dscf'!$B$11:$B$27,0),MATCH($Q36,'Control - Grain dscf'!$C$32:$N$32,0)),
IFERROR(INDEX('Control - Alt'!$C$9:$O$27,MATCH(K$97,'Control - Alt'!$B$9:$B$27,0),MATCH($Q36,'Control - Alt'!$C$32:$O$32,0)),
IFERROR(INDEX(Stockpile!$C$10:$M$26,MATCH(K$97,Stockpile!$B$10:$B$26,0),MATCH($Q36,Stockpile!$C$30:$M$30,0)),
IFERROR(INDEX('Asphalt Silo &amp; Unloading'!$D$10:$M$44,MATCH(K$97,'Asphalt Silo &amp; Unloading'!$B$10:$B$44,0),MATCH($Q36,'Asphalt Silo &amp; Unloading'!$D$49:$M$49,0)),""))))))</f>
        <v/>
      </c>
      <c r="L36" s="590" t="str">
        <f>IFERROR(INDEX('Material Handling'!$C$10:$AH$33,MATCH(L$97,Material_Handling[Data],0),MATCH($Q36,'Material Handling'!$C$40:$AH$40,0)), IFERROR(INDEX('Drop Point'!$B$13:$M$36,MATCH(L$97,'Drop Point'!$B$13:$B$37,0),MATCH($Q36,'Drop Point'!$B$41:$M$41,0)),
IFERROR(INDEX('Control - Grain dscf'!$C$11:$N$27,MATCH(L$97,'Control - Grain dscf'!$B$11:$B$27,0),MATCH($Q36,'Control - Grain dscf'!$C$32:$N$32,0)),
IFERROR(INDEX('Control - Alt'!$C$9:$O$27,MATCH(L$97,'Control - Alt'!$B$9:$B$27,0),MATCH($Q36,'Control - Alt'!$C$32:$O$32,0)),
IFERROR(INDEX(Stockpile!$C$10:$M$26,MATCH(L$97,Stockpile!$B$10:$B$26,0),MATCH($Q36,Stockpile!$C$30:$M$30,0)),
IFERROR(INDEX('Asphalt Silo &amp; Unloading'!$D$10:$M$44,MATCH(L$97,'Asphalt Silo &amp; Unloading'!$B$10:$B$44,0),MATCH($Q36,'Asphalt Silo &amp; Unloading'!$D$49:$M$49,0)),""))))))</f>
        <v/>
      </c>
      <c r="M36" s="590" t="str">
        <f>IFERROR(INDEX('Material Handling'!$C$10:$AH$33,MATCH(M$97,Material_Handling[Data],0),MATCH($Q36,'Material Handling'!$C$40:$AH$40,0)), IFERROR(INDEX('Drop Point'!$B$13:$M$36,MATCH(M$97,'Drop Point'!$B$13:$B$37,0),MATCH($Q36,'Drop Point'!$B$41:$M$41,0)),
IFERROR(INDEX('Control - Grain dscf'!$C$11:$N$27,MATCH(M$97,'Control - Grain dscf'!$B$11:$B$27,0),MATCH($Q36,'Control - Grain dscf'!$C$32:$N$32,0)),
IFERROR(INDEX('Control - Alt'!$C$9:$O$27,MATCH(M$97,'Control - Alt'!$B$9:$B$27,0),MATCH($Q36,'Control - Alt'!$C$32:$O$32,0)),
IFERROR(INDEX(Stockpile!$C$10:$M$26,MATCH(M$97,Stockpile!$B$10:$B$26,0),MATCH($Q36,Stockpile!$C$30:$M$30,0)),
IFERROR(INDEX('Asphalt Silo &amp; Unloading'!$D$10:$M$44,MATCH(M$97,'Asphalt Silo &amp; Unloading'!$B$10:$B$44,0),MATCH($Q36,'Asphalt Silo &amp; Unloading'!$D$49:$M$49,0)),""))))))</f>
        <v/>
      </c>
      <c r="N36" s="590" t="str">
        <f>IFERROR(INDEX('Material Handling'!$C$10:$AH$33,MATCH(N$97,Material_Handling[Data],0),MATCH($Q36,'Material Handling'!$C$40:$AH$40,0)), IFERROR(INDEX('Drop Point'!$B$13:$M$36,MATCH(N$97,'Drop Point'!$B$13:$B$37,0),MATCH($Q36,'Drop Point'!$B$41:$M$41,0)),
IFERROR(INDEX('Control - Grain dscf'!$C$11:$N$27,MATCH(N$97,'Control - Grain dscf'!$B$11:$B$27,0),MATCH($Q36,'Control - Grain dscf'!$C$32:$N$32,0)),
IFERROR(INDEX('Control - Alt'!$C$9:$O$27,MATCH(N$97,'Control - Alt'!$B$9:$B$27,0),MATCH($Q36,'Control - Alt'!$C$32:$O$32,0)),
IFERROR(INDEX(Stockpile!$C$10:$M$26,MATCH(N$97,Stockpile!$B$10:$B$26,0),MATCH($Q36,Stockpile!$C$30:$M$30,0)),
IFERROR(INDEX('Asphalt Silo &amp; Unloading'!$D$10:$M$44,MATCH(N$97,'Asphalt Silo &amp; Unloading'!$B$10:$B$44,0),MATCH($Q36,'Asphalt Silo &amp; Unloading'!$D$49:$M$49,0)),""))))))</f>
        <v/>
      </c>
      <c r="O36" s="591" t="str">
        <f>IFERROR(INDEX('Material Handling'!$C$10:$AH$33,MATCH(O$97,Material_Handling[Data],0),MATCH($Q36,'Material Handling'!$C$40:$AH$40,0)), IFERROR(INDEX('Drop Point'!$B$13:$M$36,MATCH(O$97,'Drop Point'!$B$13:$B$37,0),MATCH($Q36,'Drop Point'!$B$41:$M$41,0)),
IFERROR(INDEX('Control - Grain dscf'!$C$11:$N$27,MATCH(O$97,'Control - Grain dscf'!$B$11:$B$27,0),MATCH($Q36,'Control - Grain dscf'!$C$32:$N$32,0)),
IFERROR(INDEX('Control - Alt'!$C$9:$O$27,MATCH(O$97,'Control - Alt'!$B$9:$B$27,0),MATCH($Q36,'Control - Alt'!$C$32:$O$32,0)),
IFERROR(INDEX(Stockpile!$C$10:$M$26,MATCH(O$97,Stockpile!$B$10:$B$26,0),MATCH($Q36,Stockpile!$C$30:$M$30,0)),
IFERROR(INDEX('Asphalt Silo &amp; Unloading'!$D$10:$M$44,MATCH(O$97,'Asphalt Silo &amp; Unloading'!$B$10:$B$44,0),MATCH($Q36,'Asphalt Silo &amp; Unloading'!$D$49:$M$49,0)),""))))))</f>
        <v/>
      </c>
      <c r="Q36" s="131">
        <f t="shared" si="0"/>
        <v>28</v>
      </c>
    </row>
    <row r="37" spans="1:17" ht="20.100000000000001" customHeight="1">
      <c r="A37" s="293" t="str">
        <f>IFERROR(INDEX('Material Handling'!$C$10:$AH$33,MATCH(A$97,Material_Handling[Data],0),MATCH($Q37,'Material Handling'!$C$40:$AH$40,0)), IFERROR(INDEX('Drop Point'!$B$13:$M$36,MATCH(A$97,'Drop Point'!$B$13:$B$37,0),MATCH($Q37,'Drop Point'!$B$41:$M$41,0)),
IFERROR(INDEX('Control - Grain dscf'!$C$11:$N$27,MATCH(A$97,'Control - Grain dscf'!$B$11:$B$27,0),MATCH($Q37,'Control - Grain dscf'!$C$32:$N$32,0)),
IFERROR(INDEX('Control - Alt'!$C$9:$O$27,MATCH(A$97,'Control - Alt'!$B$9:$B$27,0),MATCH($Q37,'Control - Alt'!$C$32:$O$32,0)),
IFERROR(INDEX(Stockpile!$C$10:$M$26,MATCH(A$97,Stockpile!$B$10:$B$26,0),MATCH($Q37,Stockpile!$C$30:$M$30,0)),
IFERROR(INDEX('Asphalt Silo &amp; Unloading'!$D$10:$M$44,MATCH(A$97,'Asphalt Silo &amp; Unloading'!$B$10:$B$44,0),MATCH($Q37,'Asphalt Silo &amp; Unloading'!$D$49:$M$49,0)),""))))))</f>
        <v/>
      </c>
      <c r="B37" s="135" t="str">
        <f>IFERROR(INDEX('Material Handling'!$C$10:$AH$33,MATCH(B$97,Material_Handling[Data],0),MATCH($Q37,'Material Handling'!$C$40:$AH$40,0)), IFERROR(INDEX('Drop Point'!$B$13:$M$36,MATCH(B$97,'Drop Point'!$B$13:$B$37,0),MATCH($Q37,'Drop Point'!$B$41:$M$41,0)),
IFERROR(INDEX('Control - Grain dscf'!$C$11:$N$27,MATCH(B$97,'Control - Grain dscf'!$B$11:$B$27,0),MATCH($Q37,'Control - Grain dscf'!$C$32:$N$32,0)),
IFERROR(INDEX('Control - Alt'!$C$9:$O$27,MATCH(B$97,'Control - Alt'!$B$9:$B$27,0),MATCH($Q37,'Control - Alt'!$C$32:$O$32,0)),
IFERROR(INDEX(Stockpile!$C$10:$M$26,MATCH(B$97,Stockpile!$B$10:$B$26,0),MATCH($Q37,Stockpile!$C$30:$M$30,0)),
IFERROR(INDEX('Asphalt Silo &amp; Unloading'!$D$10:$M$44,MATCH(B$97,'Asphalt Silo &amp; Unloading'!$B$10:$B$44,0),MATCH($Q37,'Asphalt Silo &amp; Unloading'!$D$49:$M$49,0)),""))))))</f>
        <v/>
      </c>
      <c r="C37" s="135" t="str">
        <f>IFERROR(INDEX('Material Handling'!$C$10:$AH$33,MATCH(C$97,Material_Handling[Data],0),MATCH($Q37,'Material Handling'!$C$40:$AH$40,0)), IFERROR(INDEX('Drop Point'!$B$13:$M$36,MATCH(C$97,'Drop Point'!$B$13:$B$37,0),MATCH($Q37,'Drop Point'!$B$41:$M$41,0)),
IFERROR(INDEX('Control - Grain dscf'!$C$11:$N$27,MATCH(C$97,'Control - Grain dscf'!$B$11:$B$27,0),MATCH($Q37,'Control - Grain dscf'!$C$32:$N$32,0)),
IFERROR(INDEX('Control - Alt'!$C$9:$O$27,MATCH(C$97,'Control - Alt'!$B$9:$B$27,0),MATCH($Q37,'Control - Alt'!$C$32:$O$32,0)),
IFERROR(INDEX(Stockpile!$C$10:$M$26,MATCH(C$97,Stockpile!$B$10:$B$26,0),MATCH($Q37,Stockpile!$C$30:$M$30,0)),
IFERROR(INDEX('Asphalt Silo &amp; Unloading'!$D$10:$M$44,MATCH(C$97,'Asphalt Silo &amp; Unloading'!$B$10:$B$44,0),MATCH($Q37,'Asphalt Silo &amp; Unloading'!$D$49:$M$49,0)),""))))))</f>
        <v/>
      </c>
      <c r="D37" s="135" t="str">
        <f>IFERROR(INDEX('Material Handling'!$C$10:$AH$33,MATCH(D$97,Material_Handling[Data],0),MATCH($Q37,'Material Handling'!$C$40:$AH$40,0)), IFERROR(INDEX('Drop Point'!$B$13:$M$36,MATCH(D$97,'Drop Point'!$B$13:$B$37,0),MATCH($Q37,'Drop Point'!$B$41:$M$41,0)),
IFERROR(INDEX('Control - Grain dscf'!$C$11:$N$27,MATCH(D$97,'Control - Grain dscf'!$B$11:$B$27,0),MATCH($Q37,'Control - Grain dscf'!$C$32:$N$32,0)),
IFERROR(INDEX('Control - Alt'!$C$9:$O$27,MATCH(D$97,'Control - Alt'!$B$9:$B$27,0),MATCH($Q37,'Control - Alt'!$C$32:$O$32,0)),
IFERROR(INDEX(Stockpile!$C$10:$M$26,MATCH(D$97,Stockpile!$B$10:$B$26,0),MATCH($Q37,Stockpile!$C$30:$M$30,0)),
IFERROR(INDEX('Asphalt Silo &amp; Unloading'!$D$10:$M$44,MATCH(D$97,'Asphalt Silo &amp; Unloading'!$B$10:$B$44,0),MATCH($Q37,'Asphalt Silo &amp; Unloading'!$D$49:$M$49,0)),""))))))</f>
        <v/>
      </c>
      <c r="E37" s="620" t="str">
        <f>IFERROR(INDEX('Material Handling'!$C$10:$AH$33,MATCH(E$97,Material_Handling[Data],0),MATCH($Q37,'Material Handling'!$C$40:$AH$40,0)), IFERROR(INDEX('Drop Point'!$B$13:$M$36,MATCH(E$97,'Drop Point'!$B$13:$B$37,0),MATCH($Q37,'Drop Point'!$B$41:$M$41,0)),
IFERROR(INDEX('Control - Grain dscf'!$C$11:$N$27,MATCH(E$97,'Control - Grain dscf'!$B$11:$B$27,0),MATCH($Q37,'Control - Grain dscf'!$C$32:$N$32,0)),
IFERROR(INDEX('Control - Alt'!$C$9:$O$27,MATCH(E$97,'Control - Alt'!$B$9:$B$27,0),MATCH($Q37,'Control - Alt'!$C$32:$O$32,0)),
IFERROR(INDEX(Stockpile!$C$10:$M$26,MATCH(E$97,Stockpile!$B$10:$B$26,0),MATCH($Q37,Stockpile!$C$30:$M$30,0)),
IFERROR(INDEX('Asphalt Silo &amp; Unloading'!$D$10:$M$44,MATCH(E$97,'Asphalt Silo &amp; Unloading'!$B$10:$B$44,0),MATCH($Q37,'Asphalt Silo &amp; Unloading'!$D$49:$M$49,0)),""))))))</f>
        <v/>
      </c>
      <c r="F37" s="590" t="str">
        <f>IFERROR(INDEX('Material Handling'!$C$10:$AH$33,MATCH(F$97,Material_Handling[Data],0),MATCH($Q37,'Material Handling'!$C$40:$AH$40,0)), IFERROR(INDEX('Drop Point'!$B$13:$M$36,MATCH(F$97,'Drop Point'!$B$13:$B$37,0),MATCH($Q37,'Drop Point'!$B$41:$M$41,0)),
IFERROR(INDEX('Control - Grain dscf'!$C$11:$N$27,MATCH(F$97,'Control - Grain dscf'!$B$11:$B$27,0),MATCH($Q37,'Control - Grain dscf'!$C$32:$N$32,0)),
IFERROR(INDEX('Control - Alt'!$C$9:$O$27,MATCH(F$97,'Control - Alt'!$B$9:$B$27,0),MATCH($Q37,'Control - Alt'!$C$32:$O$32,0)),
IFERROR(INDEX(Stockpile!$C$10:$M$26,MATCH(F$97,Stockpile!$B$10:$B$26,0),MATCH($Q37,Stockpile!$C$30:$M$30,0)),
IFERROR(INDEX('Asphalt Silo &amp; Unloading'!$D$10:$M$44,MATCH(F$97,'Asphalt Silo &amp; Unloading'!$B$10:$B$44,0),MATCH($Q37,'Asphalt Silo &amp; Unloading'!$D$49:$M$49,0)),""))))))</f>
        <v/>
      </c>
      <c r="G37" s="590" t="str">
        <f>IFERROR(INDEX('Material Handling'!$C$10:$AH$33,MATCH(G$97,Material_Handling[Data],0),MATCH($Q37,'Material Handling'!$C$40:$AH$40,0)), IFERROR(INDEX('Drop Point'!$B$13:$M$36,MATCH(G$97,'Drop Point'!$B$13:$B$37,0),MATCH($Q37,'Drop Point'!$B$41:$M$41,0)),
IFERROR(INDEX('Control - Grain dscf'!$C$11:$N$27,MATCH(G$97,'Control - Grain dscf'!$B$11:$B$27,0),MATCH($Q37,'Control - Grain dscf'!$C$32:$N$32,0)),
IFERROR(INDEX('Control - Alt'!$C$9:$O$27,MATCH(G$97,'Control - Alt'!$B$9:$B$27,0),MATCH($Q37,'Control - Alt'!$C$32:$O$32,0)),
IFERROR(INDEX(Stockpile!$C$10:$M$26,MATCH(G$97,Stockpile!$B$10:$B$26,0),MATCH($Q37,Stockpile!$C$30:$M$30,0)),
IFERROR(INDEX('Asphalt Silo &amp; Unloading'!$D$10:$M$44,MATCH(G$97,'Asphalt Silo &amp; Unloading'!$B$10:$B$44,0),MATCH($Q37,'Asphalt Silo &amp; Unloading'!$D$49:$M$49,0)),""))))))</f>
        <v/>
      </c>
      <c r="H37" s="590" t="str">
        <f>IFERROR(INDEX('Material Handling'!$C$10:$AH$33,MATCH(H$97,Material_Handling[Data],0),MATCH($Q37,'Material Handling'!$C$40:$AH$40,0)), IFERROR(INDEX('Drop Point'!$B$13:$M$36,MATCH(H$97,'Drop Point'!$B$13:$B$37,0),MATCH($Q37,'Drop Point'!$B$41:$M$41,0)),
IFERROR(INDEX('Control - Grain dscf'!$C$11:$N$27,MATCH(H$97,'Control - Grain dscf'!$B$11:$B$27,0),MATCH($Q37,'Control - Grain dscf'!$C$32:$N$32,0)),
IFERROR(INDEX('Control - Alt'!$C$9:$O$27,MATCH(H$97,'Control - Alt'!$B$9:$B$27,0),MATCH($Q37,'Control - Alt'!$C$32:$O$32,0)),
IFERROR(INDEX(Stockpile!$C$10:$M$26,MATCH(H$97,Stockpile!$B$10:$B$26,0),MATCH($Q37,Stockpile!$C$30:$M$30,0)),
IFERROR(INDEX('Asphalt Silo &amp; Unloading'!$D$10:$M$44,MATCH(H$97,'Asphalt Silo &amp; Unloading'!$B$10:$B$44,0),MATCH($Q37,'Asphalt Silo &amp; Unloading'!$D$49:$M$49,0)),""))))))</f>
        <v/>
      </c>
      <c r="I37" s="590" t="str">
        <f>IFERROR(INDEX('Material Handling'!$C$10:$AH$33,MATCH(I$97,Material_Handling[Data],0),MATCH($Q37,'Material Handling'!$C$40:$AH$40,0)), IFERROR(INDEX('Drop Point'!$B$13:$M$36,MATCH(I$97,'Drop Point'!$B$13:$B$37,0),MATCH($Q37,'Drop Point'!$B$41:$M$41,0)),
IFERROR(INDEX('Control - Grain dscf'!$C$11:$N$27,MATCH(I$97,'Control - Grain dscf'!$B$11:$B$27,0),MATCH($Q37,'Control - Grain dscf'!$C$32:$N$32,0)),
IFERROR(INDEX('Control - Alt'!$C$9:$O$27,MATCH(I$97,'Control - Alt'!$B$9:$B$27,0),MATCH($Q37,'Control - Alt'!$C$32:$O$32,0)),
IFERROR(INDEX(Stockpile!$C$10:$M$26,MATCH(I$97,Stockpile!$B$10:$B$26,0),MATCH($Q37,Stockpile!$C$30:$M$30,0)),
IFERROR(INDEX('Asphalt Silo &amp; Unloading'!$D$10:$M$44,MATCH(I$97,'Asphalt Silo &amp; Unloading'!$B$10:$B$44,0),MATCH($Q37,'Asphalt Silo &amp; Unloading'!$D$49:$M$49,0)),""))))))</f>
        <v/>
      </c>
      <c r="J37" s="590" t="str">
        <f>IFERROR(INDEX('Material Handling'!$C$10:$AH$33,MATCH(J$97,Material_Handling[Data],0),MATCH($Q37,'Material Handling'!$C$40:$AH$40,0)), IFERROR(INDEX('Drop Point'!$B$13:$M$36,MATCH(J$97,'Drop Point'!$B$13:$B$37,0),MATCH($Q37,'Drop Point'!$B$41:$M$41,0)),
IFERROR(INDEX('Control - Grain dscf'!$C$11:$N$27,MATCH(J$97,'Control - Grain dscf'!$B$11:$B$27,0),MATCH($Q37,'Control - Grain dscf'!$C$32:$N$32,0)),
IFERROR(INDEX('Control - Alt'!$C$9:$O$27,MATCH(J$97,'Control - Alt'!$B$9:$B$27,0),MATCH($Q37,'Control - Alt'!$C$32:$O$32,0)),
IFERROR(INDEX(Stockpile!$C$10:$M$26,MATCH(J$97,Stockpile!$B$10:$B$26,0),MATCH($Q37,Stockpile!$C$30:$M$30,0)),
IFERROR(INDEX('Asphalt Silo &amp; Unloading'!$D$10:$M$44,MATCH(J$97,'Asphalt Silo &amp; Unloading'!$B$10:$B$44,0),MATCH($Q37,'Asphalt Silo &amp; Unloading'!$D$49:$M$49,0)),""))))))</f>
        <v/>
      </c>
      <c r="K37" s="590" t="str">
        <f>IFERROR(INDEX('Material Handling'!$C$10:$AH$33,MATCH(K$97,Material_Handling[Data],0),MATCH($Q37,'Material Handling'!$C$40:$AH$40,0)), IFERROR(INDEX('Drop Point'!$B$13:$M$36,MATCH(K$97,'Drop Point'!$B$13:$B$37,0),MATCH($Q37,'Drop Point'!$B$41:$M$41,0)),
IFERROR(INDEX('Control - Grain dscf'!$C$11:$N$27,MATCH(K$97,'Control - Grain dscf'!$B$11:$B$27,0),MATCH($Q37,'Control - Grain dscf'!$C$32:$N$32,0)),
IFERROR(INDEX('Control - Alt'!$C$9:$O$27,MATCH(K$97,'Control - Alt'!$B$9:$B$27,0),MATCH($Q37,'Control - Alt'!$C$32:$O$32,0)),
IFERROR(INDEX(Stockpile!$C$10:$M$26,MATCH(K$97,Stockpile!$B$10:$B$26,0),MATCH($Q37,Stockpile!$C$30:$M$30,0)),
IFERROR(INDEX('Asphalt Silo &amp; Unloading'!$D$10:$M$44,MATCH(K$97,'Asphalt Silo &amp; Unloading'!$B$10:$B$44,0),MATCH($Q37,'Asphalt Silo &amp; Unloading'!$D$49:$M$49,0)),""))))))</f>
        <v/>
      </c>
      <c r="L37" s="590" t="str">
        <f>IFERROR(INDEX('Material Handling'!$C$10:$AH$33,MATCH(L$97,Material_Handling[Data],0),MATCH($Q37,'Material Handling'!$C$40:$AH$40,0)), IFERROR(INDEX('Drop Point'!$B$13:$M$36,MATCH(L$97,'Drop Point'!$B$13:$B$37,0),MATCH($Q37,'Drop Point'!$B$41:$M$41,0)),
IFERROR(INDEX('Control - Grain dscf'!$C$11:$N$27,MATCH(L$97,'Control - Grain dscf'!$B$11:$B$27,0),MATCH($Q37,'Control - Grain dscf'!$C$32:$N$32,0)),
IFERROR(INDEX('Control - Alt'!$C$9:$O$27,MATCH(L$97,'Control - Alt'!$B$9:$B$27,0),MATCH($Q37,'Control - Alt'!$C$32:$O$32,0)),
IFERROR(INDEX(Stockpile!$C$10:$M$26,MATCH(L$97,Stockpile!$B$10:$B$26,0),MATCH($Q37,Stockpile!$C$30:$M$30,0)),
IFERROR(INDEX('Asphalt Silo &amp; Unloading'!$D$10:$M$44,MATCH(L$97,'Asphalt Silo &amp; Unloading'!$B$10:$B$44,0),MATCH($Q37,'Asphalt Silo &amp; Unloading'!$D$49:$M$49,0)),""))))))</f>
        <v/>
      </c>
      <c r="M37" s="590" t="str">
        <f>IFERROR(INDEX('Material Handling'!$C$10:$AH$33,MATCH(M$97,Material_Handling[Data],0),MATCH($Q37,'Material Handling'!$C$40:$AH$40,0)), IFERROR(INDEX('Drop Point'!$B$13:$M$36,MATCH(M$97,'Drop Point'!$B$13:$B$37,0),MATCH($Q37,'Drop Point'!$B$41:$M$41,0)),
IFERROR(INDEX('Control - Grain dscf'!$C$11:$N$27,MATCH(M$97,'Control - Grain dscf'!$B$11:$B$27,0),MATCH($Q37,'Control - Grain dscf'!$C$32:$N$32,0)),
IFERROR(INDEX('Control - Alt'!$C$9:$O$27,MATCH(M$97,'Control - Alt'!$B$9:$B$27,0),MATCH($Q37,'Control - Alt'!$C$32:$O$32,0)),
IFERROR(INDEX(Stockpile!$C$10:$M$26,MATCH(M$97,Stockpile!$B$10:$B$26,0),MATCH($Q37,Stockpile!$C$30:$M$30,0)),
IFERROR(INDEX('Asphalt Silo &amp; Unloading'!$D$10:$M$44,MATCH(M$97,'Asphalt Silo &amp; Unloading'!$B$10:$B$44,0),MATCH($Q37,'Asphalt Silo &amp; Unloading'!$D$49:$M$49,0)),""))))))</f>
        <v/>
      </c>
      <c r="N37" s="590" t="str">
        <f>IFERROR(INDEX('Material Handling'!$C$10:$AH$33,MATCH(N$97,Material_Handling[Data],0),MATCH($Q37,'Material Handling'!$C$40:$AH$40,0)), IFERROR(INDEX('Drop Point'!$B$13:$M$36,MATCH(N$97,'Drop Point'!$B$13:$B$37,0),MATCH($Q37,'Drop Point'!$B$41:$M$41,0)),
IFERROR(INDEX('Control - Grain dscf'!$C$11:$N$27,MATCH(N$97,'Control - Grain dscf'!$B$11:$B$27,0),MATCH($Q37,'Control - Grain dscf'!$C$32:$N$32,0)),
IFERROR(INDEX('Control - Alt'!$C$9:$O$27,MATCH(N$97,'Control - Alt'!$B$9:$B$27,0),MATCH($Q37,'Control - Alt'!$C$32:$O$32,0)),
IFERROR(INDEX(Stockpile!$C$10:$M$26,MATCH(N$97,Stockpile!$B$10:$B$26,0),MATCH($Q37,Stockpile!$C$30:$M$30,0)),
IFERROR(INDEX('Asphalt Silo &amp; Unloading'!$D$10:$M$44,MATCH(N$97,'Asphalt Silo &amp; Unloading'!$B$10:$B$44,0),MATCH($Q37,'Asphalt Silo &amp; Unloading'!$D$49:$M$49,0)),""))))))</f>
        <v/>
      </c>
      <c r="O37" s="591" t="str">
        <f>IFERROR(INDEX('Material Handling'!$C$10:$AH$33,MATCH(O$97,Material_Handling[Data],0),MATCH($Q37,'Material Handling'!$C$40:$AH$40,0)), IFERROR(INDEX('Drop Point'!$B$13:$M$36,MATCH(O$97,'Drop Point'!$B$13:$B$37,0),MATCH($Q37,'Drop Point'!$B$41:$M$41,0)),
IFERROR(INDEX('Control - Grain dscf'!$C$11:$N$27,MATCH(O$97,'Control - Grain dscf'!$B$11:$B$27,0),MATCH($Q37,'Control - Grain dscf'!$C$32:$N$32,0)),
IFERROR(INDEX('Control - Alt'!$C$9:$O$27,MATCH(O$97,'Control - Alt'!$B$9:$B$27,0),MATCH($Q37,'Control - Alt'!$C$32:$O$32,0)),
IFERROR(INDEX(Stockpile!$C$10:$M$26,MATCH(O$97,Stockpile!$B$10:$B$26,0),MATCH($Q37,Stockpile!$C$30:$M$30,0)),
IFERROR(INDEX('Asphalt Silo &amp; Unloading'!$D$10:$M$44,MATCH(O$97,'Asphalt Silo &amp; Unloading'!$B$10:$B$44,0),MATCH($Q37,'Asphalt Silo &amp; Unloading'!$D$49:$M$49,0)),""))))))</f>
        <v/>
      </c>
      <c r="Q37" s="131">
        <f t="shared" si="0"/>
        <v>29</v>
      </c>
    </row>
    <row r="38" spans="1:17" ht="20.100000000000001" customHeight="1">
      <c r="A38" s="293" t="str">
        <f>IFERROR(INDEX('Material Handling'!$C$10:$AH$33,MATCH(A$97,Material_Handling[Data],0),MATCH($Q38,'Material Handling'!$C$40:$AH$40,0)), IFERROR(INDEX('Drop Point'!$B$13:$M$36,MATCH(A$97,'Drop Point'!$B$13:$B$37,0),MATCH($Q38,'Drop Point'!$B$41:$M$41,0)),
IFERROR(INDEX('Control - Grain dscf'!$C$11:$N$27,MATCH(A$97,'Control - Grain dscf'!$B$11:$B$27,0),MATCH($Q38,'Control - Grain dscf'!$C$32:$N$32,0)),
IFERROR(INDEX('Control - Alt'!$C$9:$O$27,MATCH(A$97,'Control - Alt'!$B$9:$B$27,0),MATCH($Q38,'Control - Alt'!$C$32:$O$32,0)),
IFERROR(INDEX(Stockpile!$C$10:$M$26,MATCH(A$97,Stockpile!$B$10:$B$26,0),MATCH($Q38,Stockpile!$C$30:$M$30,0)),
IFERROR(INDEX('Asphalt Silo &amp; Unloading'!$D$10:$M$44,MATCH(A$97,'Asphalt Silo &amp; Unloading'!$B$10:$B$44,0),MATCH($Q38,'Asphalt Silo &amp; Unloading'!$D$49:$M$49,0)),""))))))</f>
        <v/>
      </c>
      <c r="B38" s="135" t="str">
        <f>IFERROR(INDEX('Material Handling'!$C$10:$AH$33,MATCH(B$97,Material_Handling[Data],0),MATCH($Q38,'Material Handling'!$C$40:$AH$40,0)), IFERROR(INDEX('Drop Point'!$B$13:$M$36,MATCH(B$97,'Drop Point'!$B$13:$B$37,0),MATCH($Q38,'Drop Point'!$B$41:$M$41,0)),
IFERROR(INDEX('Control - Grain dscf'!$C$11:$N$27,MATCH(B$97,'Control - Grain dscf'!$B$11:$B$27,0),MATCH($Q38,'Control - Grain dscf'!$C$32:$N$32,0)),
IFERROR(INDEX('Control - Alt'!$C$9:$O$27,MATCH(B$97,'Control - Alt'!$B$9:$B$27,0),MATCH($Q38,'Control - Alt'!$C$32:$O$32,0)),
IFERROR(INDEX(Stockpile!$C$10:$M$26,MATCH(B$97,Stockpile!$B$10:$B$26,0),MATCH($Q38,Stockpile!$C$30:$M$30,0)),
IFERROR(INDEX('Asphalt Silo &amp; Unloading'!$D$10:$M$44,MATCH(B$97,'Asphalt Silo &amp; Unloading'!$B$10:$B$44,0),MATCH($Q38,'Asphalt Silo &amp; Unloading'!$D$49:$M$49,0)),""))))))</f>
        <v/>
      </c>
      <c r="C38" s="135" t="str">
        <f>IFERROR(INDEX('Material Handling'!$C$10:$AH$33,MATCH(C$97,Material_Handling[Data],0),MATCH($Q38,'Material Handling'!$C$40:$AH$40,0)), IFERROR(INDEX('Drop Point'!$B$13:$M$36,MATCH(C$97,'Drop Point'!$B$13:$B$37,0),MATCH($Q38,'Drop Point'!$B$41:$M$41,0)),
IFERROR(INDEX('Control - Grain dscf'!$C$11:$N$27,MATCH(C$97,'Control - Grain dscf'!$B$11:$B$27,0),MATCH($Q38,'Control - Grain dscf'!$C$32:$N$32,0)),
IFERROR(INDEX('Control - Alt'!$C$9:$O$27,MATCH(C$97,'Control - Alt'!$B$9:$B$27,0),MATCH($Q38,'Control - Alt'!$C$32:$O$32,0)),
IFERROR(INDEX(Stockpile!$C$10:$M$26,MATCH(C$97,Stockpile!$B$10:$B$26,0),MATCH($Q38,Stockpile!$C$30:$M$30,0)),
IFERROR(INDEX('Asphalt Silo &amp; Unloading'!$D$10:$M$44,MATCH(C$97,'Asphalt Silo &amp; Unloading'!$B$10:$B$44,0),MATCH($Q38,'Asphalt Silo &amp; Unloading'!$D$49:$M$49,0)),""))))))</f>
        <v/>
      </c>
      <c r="D38" s="135" t="str">
        <f>IFERROR(INDEX('Material Handling'!$C$10:$AH$33,MATCH(D$97,Material_Handling[Data],0),MATCH($Q38,'Material Handling'!$C$40:$AH$40,0)), IFERROR(INDEX('Drop Point'!$B$13:$M$36,MATCH(D$97,'Drop Point'!$B$13:$B$37,0),MATCH($Q38,'Drop Point'!$B$41:$M$41,0)),
IFERROR(INDEX('Control - Grain dscf'!$C$11:$N$27,MATCH(D$97,'Control - Grain dscf'!$B$11:$B$27,0),MATCH($Q38,'Control - Grain dscf'!$C$32:$N$32,0)),
IFERROR(INDEX('Control - Alt'!$C$9:$O$27,MATCH(D$97,'Control - Alt'!$B$9:$B$27,0),MATCH($Q38,'Control - Alt'!$C$32:$O$32,0)),
IFERROR(INDEX(Stockpile!$C$10:$M$26,MATCH(D$97,Stockpile!$B$10:$B$26,0),MATCH($Q38,Stockpile!$C$30:$M$30,0)),
IFERROR(INDEX('Asphalt Silo &amp; Unloading'!$D$10:$M$44,MATCH(D$97,'Asphalt Silo &amp; Unloading'!$B$10:$B$44,0),MATCH($Q38,'Asphalt Silo &amp; Unloading'!$D$49:$M$49,0)),""))))))</f>
        <v/>
      </c>
      <c r="E38" s="620" t="str">
        <f>IFERROR(INDEX('Material Handling'!$C$10:$AH$33,MATCH(E$97,Material_Handling[Data],0),MATCH($Q38,'Material Handling'!$C$40:$AH$40,0)), IFERROR(INDEX('Drop Point'!$B$13:$M$36,MATCH(E$97,'Drop Point'!$B$13:$B$37,0),MATCH($Q38,'Drop Point'!$B$41:$M$41,0)),
IFERROR(INDEX('Control - Grain dscf'!$C$11:$N$27,MATCH(E$97,'Control - Grain dscf'!$B$11:$B$27,0),MATCH($Q38,'Control - Grain dscf'!$C$32:$N$32,0)),
IFERROR(INDEX('Control - Alt'!$C$9:$O$27,MATCH(E$97,'Control - Alt'!$B$9:$B$27,0),MATCH($Q38,'Control - Alt'!$C$32:$O$32,0)),
IFERROR(INDEX(Stockpile!$C$10:$M$26,MATCH(E$97,Stockpile!$B$10:$B$26,0),MATCH($Q38,Stockpile!$C$30:$M$30,0)),
IFERROR(INDEX('Asphalt Silo &amp; Unloading'!$D$10:$M$44,MATCH(E$97,'Asphalt Silo &amp; Unloading'!$B$10:$B$44,0),MATCH($Q38,'Asphalt Silo &amp; Unloading'!$D$49:$M$49,0)),""))))))</f>
        <v/>
      </c>
      <c r="F38" s="590" t="str">
        <f>IFERROR(INDEX('Material Handling'!$C$10:$AH$33,MATCH(F$97,Material_Handling[Data],0),MATCH($Q38,'Material Handling'!$C$40:$AH$40,0)), IFERROR(INDEX('Drop Point'!$B$13:$M$36,MATCH(F$97,'Drop Point'!$B$13:$B$37,0),MATCH($Q38,'Drop Point'!$B$41:$M$41,0)),
IFERROR(INDEX('Control - Grain dscf'!$C$11:$N$27,MATCH(F$97,'Control - Grain dscf'!$B$11:$B$27,0),MATCH($Q38,'Control - Grain dscf'!$C$32:$N$32,0)),
IFERROR(INDEX('Control - Alt'!$C$9:$O$27,MATCH(F$97,'Control - Alt'!$B$9:$B$27,0),MATCH($Q38,'Control - Alt'!$C$32:$O$32,0)),
IFERROR(INDEX(Stockpile!$C$10:$M$26,MATCH(F$97,Stockpile!$B$10:$B$26,0),MATCH($Q38,Stockpile!$C$30:$M$30,0)),
IFERROR(INDEX('Asphalt Silo &amp; Unloading'!$D$10:$M$44,MATCH(F$97,'Asphalt Silo &amp; Unloading'!$B$10:$B$44,0),MATCH($Q38,'Asphalt Silo &amp; Unloading'!$D$49:$M$49,0)),""))))))</f>
        <v/>
      </c>
      <c r="G38" s="590" t="str">
        <f>IFERROR(INDEX('Material Handling'!$C$10:$AH$33,MATCH(G$97,Material_Handling[Data],0),MATCH($Q38,'Material Handling'!$C$40:$AH$40,0)), IFERROR(INDEX('Drop Point'!$B$13:$M$36,MATCH(G$97,'Drop Point'!$B$13:$B$37,0),MATCH($Q38,'Drop Point'!$B$41:$M$41,0)),
IFERROR(INDEX('Control - Grain dscf'!$C$11:$N$27,MATCH(G$97,'Control - Grain dscf'!$B$11:$B$27,0),MATCH($Q38,'Control - Grain dscf'!$C$32:$N$32,0)),
IFERROR(INDEX('Control - Alt'!$C$9:$O$27,MATCH(G$97,'Control - Alt'!$B$9:$B$27,0),MATCH($Q38,'Control - Alt'!$C$32:$O$32,0)),
IFERROR(INDEX(Stockpile!$C$10:$M$26,MATCH(G$97,Stockpile!$B$10:$B$26,0),MATCH($Q38,Stockpile!$C$30:$M$30,0)),
IFERROR(INDEX('Asphalt Silo &amp; Unloading'!$D$10:$M$44,MATCH(G$97,'Asphalt Silo &amp; Unloading'!$B$10:$B$44,0),MATCH($Q38,'Asphalt Silo &amp; Unloading'!$D$49:$M$49,0)),""))))))</f>
        <v/>
      </c>
      <c r="H38" s="590" t="str">
        <f>IFERROR(INDEX('Material Handling'!$C$10:$AH$33,MATCH(H$97,Material_Handling[Data],0),MATCH($Q38,'Material Handling'!$C$40:$AH$40,0)), IFERROR(INDEX('Drop Point'!$B$13:$M$36,MATCH(H$97,'Drop Point'!$B$13:$B$37,0),MATCH($Q38,'Drop Point'!$B$41:$M$41,0)),
IFERROR(INDEX('Control - Grain dscf'!$C$11:$N$27,MATCH(H$97,'Control - Grain dscf'!$B$11:$B$27,0),MATCH($Q38,'Control - Grain dscf'!$C$32:$N$32,0)),
IFERROR(INDEX('Control - Alt'!$C$9:$O$27,MATCH(H$97,'Control - Alt'!$B$9:$B$27,0),MATCH($Q38,'Control - Alt'!$C$32:$O$32,0)),
IFERROR(INDEX(Stockpile!$C$10:$M$26,MATCH(H$97,Stockpile!$B$10:$B$26,0),MATCH($Q38,Stockpile!$C$30:$M$30,0)),
IFERROR(INDEX('Asphalt Silo &amp; Unloading'!$D$10:$M$44,MATCH(H$97,'Asphalt Silo &amp; Unloading'!$B$10:$B$44,0),MATCH($Q38,'Asphalt Silo &amp; Unloading'!$D$49:$M$49,0)),""))))))</f>
        <v/>
      </c>
      <c r="I38" s="590" t="str">
        <f>IFERROR(INDEX('Material Handling'!$C$10:$AH$33,MATCH(I$97,Material_Handling[Data],0),MATCH($Q38,'Material Handling'!$C$40:$AH$40,0)), IFERROR(INDEX('Drop Point'!$B$13:$M$36,MATCH(I$97,'Drop Point'!$B$13:$B$37,0),MATCH($Q38,'Drop Point'!$B$41:$M$41,0)),
IFERROR(INDEX('Control - Grain dscf'!$C$11:$N$27,MATCH(I$97,'Control - Grain dscf'!$B$11:$B$27,0),MATCH($Q38,'Control - Grain dscf'!$C$32:$N$32,0)),
IFERROR(INDEX('Control - Alt'!$C$9:$O$27,MATCH(I$97,'Control - Alt'!$B$9:$B$27,0),MATCH($Q38,'Control - Alt'!$C$32:$O$32,0)),
IFERROR(INDEX(Stockpile!$C$10:$M$26,MATCH(I$97,Stockpile!$B$10:$B$26,0),MATCH($Q38,Stockpile!$C$30:$M$30,0)),
IFERROR(INDEX('Asphalt Silo &amp; Unloading'!$D$10:$M$44,MATCH(I$97,'Asphalt Silo &amp; Unloading'!$B$10:$B$44,0),MATCH($Q38,'Asphalt Silo &amp; Unloading'!$D$49:$M$49,0)),""))))))</f>
        <v/>
      </c>
      <c r="J38" s="590" t="str">
        <f>IFERROR(INDEX('Material Handling'!$C$10:$AH$33,MATCH(J$97,Material_Handling[Data],0),MATCH($Q38,'Material Handling'!$C$40:$AH$40,0)), IFERROR(INDEX('Drop Point'!$B$13:$M$36,MATCH(J$97,'Drop Point'!$B$13:$B$37,0),MATCH($Q38,'Drop Point'!$B$41:$M$41,0)),
IFERROR(INDEX('Control - Grain dscf'!$C$11:$N$27,MATCH(J$97,'Control - Grain dscf'!$B$11:$B$27,0),MATCH($Q38,'Control - Grain dscf'!$C$32:$N$32,0)),
IFERROR(INDEX('Control - Alt'!$C$9:$O$27,MATCH(J$97,'Control - Alt'!$B$9:$B$27,0),MATCH($Q38,'Control - Alt'!$C$32:$O$32,0)),
IFERROR(INDEX(Stockpile!$C$10:$M$26,MATCH(J$97,Stockpile!$B$10:$B$26,0),MATCH($Q38,Stockpile!$C$30:$M$30,0)),
IFERROR(INDEX('Asphalt Silo &amp; Unloading'!$D$10:$M$44,MATCH(J$97,'Asphalt Silo &amp; Unloading'!$B$10:$B$44,0),MATCH($Q38,'Asphalt Silo &amp; Unloading'!$D$49:$M$49,0)),""))))))</f>
        <v/>
      </c>
      <c r="K38" s="590" t="str">
        <f>IFERROR(INDEX('Material Handling'!$C$10:$AH$33,MATCH(K$97,Material_Handling[Data],0),MATCH($Q38,'Material Handling'!$C$40:$AH$40,0)), IFERROR(INDEX('Drop Point'!$B$13:$M$36,MATCH(K$97,'Drop Point'!$B$13:$B$37,0),MATCH($Q38,'Drop Point'!$B$41:$M$41,0)),
IFERROR(INDEX('Control - Grain dscf'!$C$11:$N$27,MATCH(K$97,'Control - Grain dscf'!$B$11:$B$27,0),MATCH($Q38,'Control - Grain dscf'!$C$32:$N$32,0)),
IFERROR(INDEX('Control - Alt'!$C$9:$O$27,MATCH(K$97,'Control - Alt'!$B$9:$B$27,0),MATCH($Q38,'Control - Alt'!$C$32:$O$32,0)),
IFERROR(INDEX(Stockpile!$C$10:$M$26,MATCH(K$97,Stockpile!$B$10:$B$26,0),MATCH($Q38,Stockpile!$C$30:$M$30,0)),
IFERROR(INDEX('Asphalt Silo &amp; Unloading'!$D$10:$M$44,MATCH(K$97,'Asphalt Silo &amp; Unloading'!$B$10:$B$44,0),MATCH($Q38,'Asphalt Silo &amp; Unloading'!$D$49:$M$49,0)),""))))))</f>
        <v/>
      </c>
      <c r="L38" s="590" t="str">
        <f>IFERROR(INDEX('Material Handling'!$C$10:$AH$33,MATCH(L$97,Material_Handling[Data],0),MATCH($Q38,'Material Handling'!$C$40:$AH$40,0)), IFERROR(INDEX('Drop Point'!$B$13:$M$36,MATCH(L$97,'Drop Point'!$B$13:$B$37,0),MATCH($Q38,'Drop Point'!$B$41:$M$41,0)),
IFERROR(INDEX('Control - Grain dscf'!$C$11:$N$27,MATCH(L$97,'Control - Grain dscf'!$B$11:$B$27,0),MATCH($Q38,'Control - Grain dscf'!$C$32:$N$32,0)),
IFERROR(INDEX('Control - Alt'!$C$9:$O$27,MATCH(L$97,'Control - Alt'!$B$9:$B$27,0),MATCH($Q38,'Control - Alt'!$C$32:$O$32,0)),
IFERROR(INDEX(Stockpile!$C$10:$M$26,MATCH(L$97,Stockpile!$B$10:$B$26,0),MATCH($Q38,Stockpile!$C$30:$M$30,0)),
IFERROR(INDEX('Asphalt Silo &amp; Unloading'!$D$10:$M$44,MATCH(L$97,'Asphalt Silo &amp; Unloading'!$B$10:$B$44,0),MATCH($Q38,'Asphalt Silo &amp; Unloading'!$D$49:$M$49,0)),""))))))</f>
        <v/>
      </c>
      <c r="M38" s="590" t="str">
        <f>IFERROR(INDEX('Material Handling'!$C$10:$AH$33,MATCH(M$97,Material_Handling[Data],0),MATCH($Q38,'Material Handling'!$C$40:$AH$40,0)), IFERROR(INDEX('Drop Point'!$B$13:$M$36,MATCH(M$97,'Drop Point'!$B$13:$B$37,0),MATCH($Q38,'Drop Point'!$B$41:$M$41,0)),
IFERROR(INDEX('Control - Grain dscf'!$C$11:$N$27,MATCH(M$97,'Control - Grain dscf'!$B$11:$B$27,0),MATCH($Q38,'Control - Grain dscf'!$C$32:$N$32,0)),
IFERROR(INDEX('Control - Alt'!$C$9:$O$27,MATCH(M$97,'Control - Alt'!$B$9:$B$27,0),MATCH($Q38,'Control - Alt'!$C$32:$O$32,0)),
IFERROR(INDEX(Stockpile!$C$10:$M$26,MATCH(M$97,Stockpile!$B$10:$B$26,0),MATCH($Q38,Stockpile!$C$30:$M$30,0)),
IFERROR(INDEX('Asphalt Silo &amp; Unloading'!$D$10:$M$44,MATCH(M$97,'Asphalt Silo &amp; Unloading'!$B$10:$B$44,0),MATCH($Q38,'Asphalt Silo &amp; Unloading'!$D$49:$M$49,0)),""))))))</f>
        <v/>
      </c>
      <c r="N38" s="590" t="str">
        <f>IFERROR(INDEX('Material Handling'!$C$10:$AH$33,MATCH(N$97,Material_Handling[Data],0),MATCH($Q38,'Material Handling'!$C$40:$AH$40,0)), IFERROR(INDEX('Drop Point'!$B$13:$M$36,MATCH(N$97,'Drop Point'!$B$13:$B$37,0),MATCH($Q38,'Drop Point'!$B$41:$M$41,0)),
IFERROR(INDEX('Control - Grain dscf'!$C$11:$N$27,MATCH(N$97,'Control - Grain dscf'!$B$11:$B$27,0),MATCH($Q38,'Control - Grain dscf'!$C$32:$N$32,0)),
IFERROR(INDEX('Control - Alt'!$C$9:$O$27,MATCH(N$97,'Control - Alt'!$B$9:$B$27,0),MATCH($Q38,'Control - Alt'!$C$32:$O$32,0)),
IFERROR(INDEX(Stockpile!$C$10:$M$26,MATCH(N$97,Stockpile!$B$10:$B$26,0),MATCH($Q38,Stockpile!$C$30:$M$30,0)),
IFERROR(INDEX('Asphalt Silo &amp; Unloading'!$D$10:$M$44,MATCH(N$97,'Asphalt Silo &amp; Unloading'!$B$10:$B$44,0),MATCH($Q38,'Asphalt Silo &amp; Unloading'!$D$49:$M$49,0)),""))))))</f>
        <v/>
      </c>
      <c r="O38" s="591" t="str">
        <f>IFERROR(INDEX('Material Handling'!$C$10:$AH$33,MATCH(O$97,Material_Handling[Data],0),MATCH($Q38,'Material Handling'!$C$40:$AH$40,0)), IFERROR(INDEX('Drop Point'!$B$13:$M$36,MATCH(O$97,'Drop Point'!$B$13:$B$37,0),MATCH($Q38,'Drop Point'!$B$41:$M$41,0)),
IFERROR(INDEX('Control - Grain dscf'!$C$11:$N$27,MATCH(O$97,'Control - Grain dscf'!$B$11:$B$27,0),MATCH($Q38,'Control - Grain dscf'!$C$32:$N$32,0)),
IFERROR(INDEX('Control - Alt'!$C$9:$O$27,MATCH(O$97,'Control - Alt'!$B$9:$B$27,0),MATCH($Q38,'Control - Alt'!$C$32:$O$32,0)),
IFERROR(INDEX(Stockpile!$C$10:$M$26,MATCH(O$97,Stockpile!$B$10:$B$26,0),MATCH($Q38,Stockpile!$C$30:$M$30,0)),
IFERROR(INDEX('Asphalt Silo &amp; Unloading'!$D$10:$M$44,MATCH(O$97,'Asphalt Silo &amp; Unloading'!$B$10:$B$44,0),MATCH($Q38,'Asphalt Silo &amp; Unloading'!$D$49:$M$49,0)),""))))))</f>
        <v/>
      </c>
      <c r="Q38" s="131">
        <f t="shared" si="0"/>
        <v>30</v>
      </c>
    </row>
    <row r="39" spans="1:17" ht="20.100000000000001" customHeight="1">
      <c r="A39" s="293" t="str">
        <f>IFERROR(INDEX('Material Handling'!$C$10:$AH$33,MATCH(A$97,Material_Handling[Data],0),MATCH($Q39,'Material Handling'!$C$40:$AH$40,0)), IFERROR(INDEX('Drop Point'!$B$13:$M$36,MATCH(A$97,'Drop Point'!$B$13:$B$37,0),MATCH($Q39,'Drop Point'!$B$41:$M$41,0)),
IFERROR(INDEX('Control - Grain dscf'!$C$11:$N$27,MATCH(A$97,'Control - Grain dscf'!$B$11:$B$27,0),MATCH($Q39,'Control - Grain dscf'!$C$32:$N$32,0)),
IFERROR(INDEX('Control - Alt'!$C$9:$O$27,MATCH(A$97,'Control - Alt'!$B$9:$B$27,0),MATCH($Q39,'Control - Alt'!$C$32:$O$32,0)),
IFERROR(INDEX(Stockpile!$C$10:$M$26,MATCH(A$97,Stockpile!$B$10:$B$26,0),MATCH($Q39,Stockpile!$C$30:$M$30,0)),
IFERROR(INDEX('Asphalt Silo &amp; Unloading'!$D$10:$M$44,MATCH(A$97,'Asphalt Silo &amp; Unloading'!$B$10:$B$44,0),MATCH($Q39,'Asphalt Silo &amp; Unloading'!$D$49:$M$49,0)),""))))))</f>
        <v/>
      </c>
      <c r="B39" s="135" t="str">
        <f>IFERROR(INDEX('Material Handling'!$C$10:$AH$33,MATCH(B$97,Material_Handling[Data],0),MATCH($Q39,'Material Handling'!$C$40:$AH$40,0)), IFERROR(INDEX('Drop Point'!$B$13:$M$36,MATCH(B$97,'Drop Point'!$B$13:$B$37,0),MATCH($Q39,'Drop Point'!$B$41:$M$41,0)),
IFERROR(INDEX('Control - Grain dscf'!$C$11:$N$27,MATCH(B$97,'Control - Grain dscf'!$B$11:$B$27,0),MATCH($Q39,'Control - Grain dscf'!$C$32:$N$32,0)),
IFERROR(INDEX('Control - Alt'!$C$9:$O$27,MATCH(B$97,'Control - Alt'!$B$9:$B$27,0),MATCH($Q39,'Control - Alt'!$C$32:$O$32,0)),
IFERROR(INDEX(Stockpile!$C$10:$M$26,MATCH(B$97,Stockpile!$B$10:$B$26,0),MATCH($Q39,Stockpile!$C$30:$M$30,0)),
IFERROR(INDEX('Asphalt Silo &amp; Unloading'!$D$10:$M$44,MATCH(B$97,'Asphalt Silo &amp; Unloading'!$B$10:$B$44,0),MATCH($Q39,'Asphalt Silo &amp; Unloading'!$D$49:$M$49,0)),""))))))</f>
        <v/>
      </c>
      <c r="C39" s="135" t="str">
        <f>IFERROR(INDEX('Material Handling'!$C$10:$AH$33,MATCH(C$97,Material_Handling[Data],0),MATCH($Q39,'Material Handling'!$C$40:$AH$40,0)), IFERROR(INDEX('Drop Point'!$B$13:$M$36,MATCH(C$97,'Drop Point'!$B$13:$B$37,0),MATCH($Q39,'Drop Point'!$B$41:$M$41,0)),
IFERROR(INDEX('Control - Grain dscf'!$C$11:$N$27,MATCH(C$97,'Control - Grain dscf'!$B$11:$B$27,0),MATCH($Q39,'Control - Grain dscf'!$C$32:$N$32,0)),
IFERROR(INDEX('Control - Alt'!$C$9:$O$27,MATCH(C$97,'Control - Alt'!$B$9:$B$27,0),MATCH($Q39,'Control - Alt'!$C$32:$O$32,0)),
IFERROR(INDEX(Stockpile!$C$10:$M$26,MATCH(C$97,Stockpile!$B$10:$B$26,0),MATCH($Q39,Stockpile!$C$30:$M$30,0)),
IFERROR(INDEX('Asphalt Silo &amp; Unloading'!$D$10:$M$44,MATCH(C$97,'Asphalt Silo &amp; Unloading'!$B$10:$B$44,0),MATCH($Q39,'Asphalt Silo &amp; Unloading'!$D$49:$M$49,0)),""))))))</f>
        <v/>
      </c>
      <c r="D39" s="135" t="str">
        <f>IFERROR(INDEX('Material Handling'!$C$10:$AH$33,MATCH(D$97,Material_Handling[Data],0),MATCH($Q39,'Material Handling'!$C$40:$AH$40,0)), IFERROR(INDEX('Drop Point'!$B$13:$M$36,MATCH(D$97,'Drop Point'!$B$13:$B$37,0),MATCH($Q39,'Drop Point'!$B$41:$M$41,0)),
IFERROR(INDEX('Control - Grain dscf'!$C$11:$N$27,MATCH(D$97,'Control - Grain dscf'!$B$11:$B$27,0),MATCH($Q39,'Control - Grain dscf'!$C$32:$N$32,0)),
IFERROR(INDEX('Control - Alt'!$C$9:$O$27,MATCH(D$97,'Control - Alt'!$B$9:$B$27,0),MATCH($Q39,'Control - Alt'!$C$32:$O$32,0)),
IFERROR(INDEX(Stockpile!$C$10:$M$26,MATCH(D$97,Stockpile!$B$10:$B$26,0),MATCH($Q39,Stockpile!$C$30:$M$30,0)),
IFERROR(INDEX('Asphalt Silo &amp; Unloading'!$D$10:$M$44,MATCH(D$97,'Asphalt Silo &amp; Unloading'!$B$10:$B$44,0),MATCH($Q39,'Asphalt Silo &amp; Unloading'!$D$49:$M$49,0)),""))))))</f>
        <v/>
      </c>
      <c r="E39" s="620" t="str">
        <f>IFERROR(INDEX('Material Handling'!$C$10:$AH$33,MATCH(E$97,Material_Handling[Data],0),MATCH($Q39,'Material Handling'!$C$40:$AH$40,0)), IFERROR(INDEX('Drop Point'!$B$13:$M$36,MATCH(E$97,'Drop Point'!$B$13:$B$37,0),MATCH($Q39,'Drop Point'!$B$41:$M$41,0)),
IFERROR(INDEX('Control - Grain dscf'!$C$11:$N$27,MATCH(E$97,'Control - Grain dscf'!$B$11:$B$27,0),MATCH($Q39,'Control - Grain dscf'!$C$32:$N$32,0)),
IFERROR(INDEX('Control - Alt'!$C$9:$O$27,MATCH(E$97,'Control - Alt'!$B$9:$B$27,0),MATCH($Q39,'Control - Alt'!$C$32:$O$32,0)),
IFERROR(INDEX(Stockpile!$C$10:$M$26,MATCH(E$97,Stockpile!$B$10:$B$26,0),MATCH($Q39,Stockpile!$C$30:$M$30,0)),
IFERROR(INDEX('Asphalt Silo &amp; Unloading'!$D$10:$M$44,MATCH(E$97,'Asphalt Silo &amp; Unloading'!$B$10:$B$44,0),MATCH($Q39,'Asphalt Silo &amp; Unloading'!$D$49:$M$49,0)),""))))))</f>
        <v/>
      </c>
      <c r="F39" s="590" t="str">
        <f>IFERROR(INDEX('Material Handling'!$C$10:$AH$33,MATCH(F$97,Material_Handling[Data],0),MATCH($Q39,'Material Handling'!$C$40:$AH$40,0)), IFERROR(INDEX('Drop Point'!$B$13:$M$36,MATCH(F$97,'Drop Point'!$B$13:$B$37,0),MATCH($Q39,'Drop Point'!$B$41:$M$41,0)),
IFERROR(INDEX('Control - Grain dscf'!$C$11:$N$27,MATCH(F$97,'Control - Grain dscf'!$B$11:$B$27,0),MATCH($Q39,'Control - Grain dscf'!$C$32:$N$32,0)),
IFERROR(INDEX('Control - Alt'!$C$9:$O$27,MATCH(F$97,'Control - Alt'!$B$9:$B$27,0),MATCH($Q39,'Control - Alt'!$C$32:$O$32,0)),
IFERROR(INDEX(Stockpile!$C$10:$M$26,MATCH(F$97,Stockpile!$B$10:$B$26,0),MATCH($Q39,Stockpile!$C$30:$M$30,0)),
IFERROR(INDEX('Asphalt Silo &amp; Unloading'!$D$10:$M$44,MATCH(F$97,'Asphalt Silo &amp; Unloading'!$B$10:$B$44,0),MATCH($Q39,'Asphalt Silo &amp; Unloading'!$D$49:$M$49,0)),""))))))</f>
        <v/>
      </c>
      <c r="G39" s="590" t="str">
        <f>IFERROR(INDEX('Material Handling'!$C$10:$AH$33,MATCH(G$97,Material_Handling[Data],0),MATCH($Q39,'Material Handling'!$C$40:$AH$40,0)), IFERROR(INDEX('Drop Point'!$B$13:$M$36,MATCH(G$97,'Drop Point'!$B$13:$B$37,0),MATCH($Q39,'Drop Point'!$B$41:$M$41,0)),
IFERROR(INDEX('Control - Grain dscf'!$C$11:$N$27,MATCH(G$97,'Control - Grain dscf'!$B$11:$B$27,0),MATCH($Q39,'Control - Grain dscf'!$C$32:$N$32,0)),
IFERROR(INDEX('Control - Alt'!$C$9:$O$27,MATCH(G$97,'Control - Alt'!$B$9:$B$27,0),MATCH($Q39,'Control - Alt'!$C$32:$O$32,0)),
IFERROR(INDEX(Stockpile!$C$10:$M$26,MATCH(G$97,Stockpile!$B$10:$B$26,0),MATCH($Q39,Stockpile!$C$30:$M$30,0)),
IFERROR(INDEX('Asphalt Silo &amp; Unloading'!$D$10:$M$44,MATCH(G$97,'Asphalt Silo &amp; Unloading'!$B$10:$B$44,0),MATCH($Q39,'Asphalt Silo &amp; Unloading'!$D$49:$M$49,0)),""))))))</f>
        <v/>
      </c>
      <c r="H39" s="590" t="str">
        <f>IFERROR(INDEX('Material Handling'!$C$10:$AH$33,MATCH(H$97,Material_Handling[Data],0),MATCH($Q39,'Material Handling'!$C$40:$AH$40,0)), IFERROR(INDEX('Drop Point'!$B$13:$M$36,MATCH(H$97,'Drop Point'!$B$13:$B$37,0),MATCH($Q39,'Drop Point'!$B$41:$M$41,0)),
IFERROR(INDEX('Control - Grain dscf'!$C$11:$N$27,MATCH(H$97,'Control - Grain dscf'!$B$11:$B$27,0),MATCH($Q39,'Control - Grain dscf'!$C$32:$N$32,0)),
IFERROR(INDEX('Control - Alt'!$C$9:$O$27,MATCH(H$97,'Control - Alt'!$B$9:$B$27,0),MATCH($Q39,'Control - Alt'!$C$32:$O$32,0)),
IFERROR(INDEX(Stockpile!$C$10:$M$26,MATCH(H$97,Stockpile!$B$10:$B$26,0),MATCH($Q39,Stockpile!$C$30:$M$30,0)),
IFERROR(INDEX('Asphalt Silo &amp; Unloading'!$D$10:$M$44,MATCH(H$97,'Asphalt Silo &amp; Unloading'!$B$10:$B$44,0),MATCH($Q39,'Asphalt Silo &amp; Unloading'!$D$49:$M$49,0)),""))))))</f>
        <v/>
      </c>
      <c r="I39" s="590" t="str">
        <f>IFERROR(INDEX('Material Handling'!$C$10:$AH$33,MATCH(I$97,Material_Handling[Data],0),MATCH($Q39,'Material Handling'!$C$40:$AH$40,0)), IFERROR(INDEX('Drop Point'!$B$13:$M$36,MATCH(I$97,'Drop Point'!$B$13:$B$37,0),MATCH($Q39,'Drop Point'!$B$41:$M$41,0)),
IFERROR(INDEX('Control - Grain dscf'!$C$11:$N$27,MATCH(I$97,'Control - Grain dscf'!$B$11:$B$27,0),MATCH($Q39,'Control - Grain dscf'!$C$32:$N$32,0)),
IFERROR(INDEX('Control - Alt'!$C$9:$O$27,MATCH(I$97,'Control - Alt'!$B$9:$B$27,0),MATCH($Q39,'Control - Alt'!$C$32:$O$32,0)),
IFERROR(INDEX(Stockpile!$C$10:$M$26,MATCH(I$97,Stockpile!$B$10:$B$26,0),MATCH($Q39,Stockpile!$C$30:$M$30,0)),
IFERROR(INDEX('Asphalt Silo &amp; Unloading'!$D$10:$M$44,MATCH(I$97,'Asphalt Silo &amp; Unloading'!$B$10:$B$44,0),MATCH($Q39,'Asphalt Silo &amp; Unloading'!$D$49:$M$49,0)),""))))))</f>
        <v/>
      </c>
      <c r="J39" s="590" t="str">
        <f>IFERROR(INDEX('Material Handling'!$C$10:$AH$33,MATCH(J$97,Material_Handling[Data],0),MATCH($Q39,'Material Handling'!$C$40:$AH$40,0)), IFERROR(INDEX('Drop Point'!$B$13:$M$36,MATCH(J$97,'Drop Point'!$B$13:$B$37,0),MATCH($Q39,'Drop Point'!$B$41:$M$41,0)),
IFERROR(INDEX('Control - Grain dscf'!$C$11:$N$27,MATCH(J$97,'Control - Grain dscf'!$B$11:$B$27,0),MATCH($Q39,'Control - Grain dscf'!$C$32:$N$32,0)),
IFERROR(INDEX('Control - Alt'!$C$9:$O$27,MATCH(J$97,'Control - Alt'!$B$9:$B$27,0),MATCH($Q39,'Control - Alt'!$C$32:$O$32,0)),
IFERROR(INDEX(Stockpile!$C$10:$M$26,MATCH(J$97,Stockpile!$B$10:$B$26,0),MATCH($Q39,Stockpile!$C$30:$M$30,0)),
IFERROR(INDEX('Asphalt Silo &amp; Unloading'!$D$10:$M$44,MATCH(J$97,'Asphalt Silo &amp; Unloading'!$B$10:$B$44,0),MATCH($Q39,'Asphalt Silo &amp; Unloading'!$D$49:$M$49,0)),""))))))</f>
        <v/>
      </c>
      <c r="K39" s="590" t="str">
        <f>IFERROR(INDEX('Material Handling'!$C$10:$AH$33,MATCH(K$97,Material_Handling[Data],0),MATCH($Q39,'Material Handling'!$C$40:$AH$40,0)), IFERROR(INDEX('Drop Point'!$B$13:$M$36,MATCH(K$97,'Drop Point'!$B$13:$B$37,0),MATCH($Q39,'Drop Point'!$B$41:$M$41,0)),
IFERROR(INDEX('Control - Grain dscf'!$C$11:$N$27,MATCH(K$97,'Control - Grain dscf'!$B$11:$B$27,0),MATCH($Q39,'Control - Grain dscf'!$C$32:$N$32,0)),
IFERROR(INDEX('Control - Alt'!$C$9:$O$27,MATCH(K$97,'Control - Alt'!$B$9:$B$27,0),MATCH($Q39,'Control - Alt'!$C$32:$O$32,0)),
IFERROR(INDEX(Stockpile!$C$10:$M$26,MATCH(K$97,Stockpile!$B$10:$B$26,0),MATCH($Q39,Stockpile!$C$30:$M$30,0)),
IFERROR(INDEX('Asphalt Silo &amp; Unloading'!$D$10:$M$44,MATCH(K$97,'Asphalt Silo &amp; Unloading'!$B$10:$B$44,0),MATCH($Q39,'Asphalt Silo &amp; Unloading'!$D$49:$M$49,0)),""))))))</f>
        <v/>
      </c>
      <c r="L39" s="590" t="str">
        <f>IFERROR(INDEX('Material Handling'!$C$10:$AH$33,MATCH(L$97,Material_Handling[Data],0),MATCH($Q39,'Material Handling'!$C$40:$AH$40,0)), IFERROR(INDEX('Drop Point'!$B$13:$M$36,MATCH(L$97,'Drop Point'!$B$13:$B$37,0),MATCH($Q39,'Drop Point'!$B$41:$M$41,0)),
IFERROR(INDEX('Control - Grain dscf'!$C$11:$N$27,MATCH(L$97,'Control - Grain dscf'!$B$11:$B$27,0),MATCH($Q39,'Control - Grain dscf'!$C$32:$N$32,0)),
IFERROR(INDEX('Control - Alt'!$C$9:$O$27,MATCH(L$97,'Control - Alt'!$B$9:$B$27,0),MATCH($Q39,'Control - Alt'!$C$32:$O$32,0)),
IFERROR(INDEX(Stockpile!$C$10:$M$26,MATCH(L$97,Stockpile!$B$10:$B$26,0),MATCH($Q39,Stockpile!$C$30:$M$30,0)),
IFERROR(INDEX('Asphalt Silo &amp; Unloading'!$D$10:$M$44,MATCH(L$97,'Asphalt Silo &amp; Unloading'!$B$10:$B$44,0),MATCH($Q39,'Asphalt Silo &amp; Unloading'!$D$49:$M$49,0)),""))))))</f>
        <v/>
      </c>
      <c r="M39" s="590" t="str">
        <f>IFERROR(INDEX('Material Handling'!$C$10:$AH$33,MATCH(M$97,Material_Handling[Data],0),MATCH($Q39,'Material Handling'!$C$40:$AH$40,0)), IFERROR(INDEX('Drop Point'!$B$13:$M$36,MATCH(M$97,'Drop Point'!$B$13:$B$37,0),MATCH($Q39,'Drop Point'!$B$41:$M$41,0)),
IFERROR(INDEX('Control - Grain dscf'!$C$11:$N$27,MATCH(M$97,'Control - Grain dscf'!$B$11:$B$27,0),MATCH($Q39,'Control - Grain dscf'!$C$32:$N$32,0)),
IFERROR(INDEX('Control - Alt'!$C$9:$O$27,MATCH(M$97,'Control - Alt'!$B$9:$B$27,0),MATCH($Q39,'Control - Alt'!$C$32:$O$32,0)),
IFERROR(INDEX(Stockpile!$C$10:$M$26,MATCH(M$97,Stockpile!$B$10:$B$26,0),MATCH($Q39,Stockpile!$C$30:$M$30,0)),
IFERROR(INDEX('Asphalt Silo &amp; Unloading'!$D$10:$M$44,MATCH(M$97,'Asphalt Silo &amp; Unloading'!$B$10:$B$44,0),MATCH($Q39,'Asphalt Silo &amp; Unloading'!$D$49:$M$49,0)),""))))))</f>
        <v/>
      </c>
      <c r="N39" s="590" t="str">
        <f>IFERROR(INDEX('Material Handling'!$C$10:$AH$33,MATCH(N$97,Material_Handling[Data],0),MATCH($Q39,'Material Handling'!$C$40:$AH$40,0)), IFERROR(INDEX('Drop Point'!$B$13:$M$36,MATCH(N$97,'Drop Point'!$B$13:$B$37,0),MATCH($Q39,'Drop Point'!$B$41:$M$41,0)),
IFERROR(INDEX('Control - Grain dscf'!$C$11:$N$27,MATCH(N$97,'Control - Grain dscf'!$B$11:$B$27,0),MATCH($Q39,'Control - Grain dscf'!$C$32:$N$32,0)),
IFERROR(INDEX('Control - Alt'!$C$9:$O$27,MATCH(N$97,'Control - Alt'!$B$9:$B$27,0),MATCH($Q39,'Control - Alt'!$C$32:$O$32,0)),
IFERROR(INDEX(Stockpile!$C$10:$M$26,MATCH(N$97,Stockpile!$B$10:$B$26,0),MATCH($Q39,Stockpile!$C$30:$M$30,0)),
IFERROR(INDEX('Asphalt Silo &amp; Unloading'!$D$10:$M$44,MATCH(N$97,'Asphalt Silo &amp; Unloading'!$B$10:$B$44,0),MATCH($Q39,'Asphalt Silo &amp; Unloading'!$D$49:$M$49,0)),""))))))</f>
        <v/>
      </c>
      <c r="O39" s="591" t="str">
        <f>IFERROR(INDEX('Material Handling'!$C$10:$AH$33,MATCH(O$97,Material_Handling[Data],0),MATCH($Q39,'Material Handling'!$C$40:$AH$40,0)), IFERROR(INDEX('Drop Point'!$B$13:$M$36,MATCH(O$97,'Drop Point'!$B$13:$B$37,0),MATCH($Q39,'Drop Point'!$B$41:$M$41,0)),
IFERROR(INDEX('Control - Grain dscf'!$C$11:$N$27,MATCH(O$97,'Control - Grain dscf'!$B$11:$B$27,0),MATCH($Q39,'Control - Grain dscf'!$C$32:$N$32,0)),
IFERROR(INDEX('Control - Alt'!$C$9:$O$27,MATCH(O$97,'Control - Alt'!$B$9:$B$27,0),MATCH($Q39,'Control - Alt'!$C$32:$O$32,0)),
IFERROR(INDEX(Stockpile!$C$10:$M$26,MATCH(O$97,Stockpile!$B$10:$B$26,0),MATCH($Q39,Stockpile!$C$30:$M$30,0)),
IFERROR(INDEX('Asphalt Silo &amp; Unloading'!$D$10:$M$44,MATCH(O$97,'Asphalt Silo &amp; Unloading'!$B$10:$B$44,0),MATCH($Q39,'Asphalt Silo &amp; Unloading'!$D$49:$M$49,0)),""))))))</f>
        <v/>
      </c>
      <c r="Q39" s="131">
        <f t="shared" si="0"/>
        <v>31</v>
      </c>
    </row>
    <row r="40" spans="1:17" ht="20.100000000000001" customHeight="1">
      <c r="A40" s="293" t="str">
        <f>IFERROR(INDEX('Material Handling'!$C$10:$AH$33,MATCH(A$97,Material_Handling[Data],0),MATCH($Q40,'Material Handling'!$C$40:$AH$40,0)), IFERROR(INDEX('Drop Point'!$B$13:$M$36,MATCH(A$97,'Drop Point'!$B$13:$B$37,0),MATCH($Q40,'Drop Point'!$B$41:$M$41,0)),
IFERROR(INDEX('Control - Grain dscf'!$C$11:$N$27,MATCH(A$97,'Control - Grain dscf'!$B$11:$B$27,0),MATCH($Q40,'Control - Grain dscf'!$C$32:$N$32,0)),
IFERROR(INDEX('Control - Alt'!$C$9:$O$27,MATCH(A$97,'Control - Alt'!$B$9:$B$27,0),MATCH($Q40,'Control - Alt'!$C$32:$O$32,0)),
IFERROR(INDEX(Stockpile!$C$10:$M$26,MATCH(A$97,Stockpile!$B$10:$B$26,0),MATCH($Q40,Stockpile!$C$30:$M$30,0)),
IFERROR(INDEX('Asphalt Silo &amp; Unloading'!$D$10:$M$44,MATCH(A$97,'Asphalt Silo &amp; Unloading'!$B$10:$B$44,0),MATCH($Q40,'Asphalt Silo &amp; Unloading'!$D$49:$M$49,0)),""))))))</f>
        <v/>
      </c>
      <c r="B40" s="135" t="str">
        <f>IFERROR(INDEX('Material Handling'!$C$10:$AH$33,MATCH(B$97,Material_Handling[Data],0),MATCH($Q40,'Material Handling'!$C$40:$AH$40,0)), IFERROR(INDEX('Drop Point'!$B$13:$M$36,MATCH(B$97,'Drop Point'!$B$13:$B$37,0),MATCH($Q40,'Drop Point'!$B$41:$M$41,0)),
IFERROR(INDEX('Control - Grain dscf'!$C$11:$N$27,MATCH(B$97,'Control - Grain dscf'!$B$11:$B$27,0),MATCH($Q40,'Control - Grain dscf'!$C$32:$N$32,0)),
IFERROR(INDEX('Control - Alt'!$C$9:$O$27,MATCH(B$97,'Control - Alt'!$B$9:$B$27,0),MATCH($Q40,'Control - Alt'!$C$32:$O$32,0)),
IFERROR(INDEX(Stockpile!$C$10:$M$26,MATCH(B$97,Stockpile!$B$10:$B$26,0),MATCH($Q40,Stockpile!$C$30:$M$30,0)),
IFERROR(INDEX('Asphalt Silo &amp; Unloading'!$D$10:$M$44,MATCH(B$97,'Asphalt Silo &amp; Unloading'!$B$10:$B$44,0),MATCH($Q40,'Asphalt Silo &amp; Unloading'!$D$49:$M$49,0)),""))))))</f>
        <v/>
      </c>
      <c r="C40" s="135" t="str">
        <f>IFERROR(INDEX('Material Handling'!$C$10:$AH$33,MATCH(C$97,Material_Handling[Data],0),MATCH($Q40,'Material Handling'!$C$40:$AH$40,0)), IFERROR(INDEX('Drop Point'!$B$13:$M$36,MATCH(C$97,'Drop Point'!$B$13:$B$37,0),MATCH($Q40,'Drop Point'!$B$41:$M$41,0)),
IFERROR(INDEX('Control - Grain dscf'!$C$11:$N$27,MATCH(C$97,'Control - Grain dscf'!$B$11:$B$27,0),MATCH($Q40,'Control - Grain dscf'!$C$32:$N$32,0)),
IFERROR(INDEX('Control - Alt'!$C$9:$O$27,MATCH(C$97,'Control - Alt'!$B$9:$B$27,0),MATCH($Q40,'Control - Alt'!$C$32:$O$32,0)),
IFERROR(INDEX(Stockpile!$C$10:$M$26,MATCH(C$97,Stockpile!$B$10:$B$26,0),MATCH($Q40,Stockpile!$C$30:$M$30,0)),
IFERROR(INDEX('Asphalt Silo &amp; Unloading'!$D$10:$M$44,MATCH(C$97,'Asphalt Silo &amp; Unloading'!$B$10:$B$44,0),MATCH($Q40,'Asphalt Silo &amp; Unloading'!$D$49:$M$49,0)),""))))))</f>
        <v/>
      </c>
      <c r="D40" s="135" t="str">
        <f>IFERROR(INDEX('Material Handling'!$C$10:$AH$33,MATCH(D$97,Material_Handling[Data],0),MATCH($Q40,'Material Handling'!$C$40:$AH$40,0)), IFERROR(INDEX('Drop Point'!$B$13:$M$36,MATCH(D$97,'Drop Point'!$B$13:$B$37,0),MATCH($Q40,'Drop Point'!$B$41:$M$41,0)),
IFERROR(INDEX('Control - Grain dscf'!$C$11:$N$27,MATCH(D$97,'Control - Grain dscf'!$B$11:$B$27,0),MATCH($Q40,'Control - Grain dscf'!$C$32:$N$32,0)),
IFERROR(INDEX('Control - Alt'!$C$9:$O$27,MATCH(D$97,'Control - Alt'!$B$9:$B$27,0),MATCH($Q40,'Control - Alt'!$C$32:$O$32,0)),
IFERROR(INDEX(Stockpile!$C$10:$M$26,MATCH(D$97,Stockpile!$B$10:$B$26,0),MATCH($Q40,Stockpile!$C$30:$M$30,0)),
IFERROR(INDEX('Asphalt Silo &amp; Unloading'!$D$10:$M$44,MATCH(D$97,'Asphalt Silo &amp; Unloading'!$B$10:$B$44,0),MATCH($Q40,'Asphalt Silo &amp; Unloading'!$D$49:$M$49,0)),""))))))</f>
        <v/>
      </c>
      <c r="E40" s="620" t="str">
        <f>IFERROR(INDEX('Material Handling'!$C$10:$AH$33,MATCH(E$97,Material_Handling[Data],0),MATCH($Q40,'Material Handling'!$C$40:$AH$40,0)), IFERROR(INDEX('Drop Point'!$B$13:$M$36,MATCH(E$97,'Drop Point'!$B$13:$B$37,0),MATCH($Q40,'Drop Point'!$B$41:$M$41,0)),
IFERROR(INDEX('Control - Grain dscf'!$C$11:$N$27,MATCH(E$97,'Control - Grain dscf'!$B$11:$B$27,0),MATCH($Q40,'Control - Grain dscf'!$C$32:$N$32,0)),
IFERROR(INDEX('Control - Alt'!$C$9:$O$27,MATCH(E$97,'Control - Alt'!$B$9:$B$27,0),MATCH($Q40,'Control - Alt'!$C$32:$O$32,0)),
IFERROR(INDEX(Stockpile!$C$10:$M$26,MATCH(E$97,Stockpile!$B$10:$B$26,0),MATCH($Q40,Stockpile!$C$30:$M$30,0)),
IFERROR(INDEX('Asphalt Silo &amp; Unloading'!$D$10:$M$44,MATCH(E$97,'Asphalt Silo &amp; Unloading'!$B$10:$B$44,0),MATCH($Q40,'Asphalt Silo &amp; Unloading'!$D$49:$M$49,0)),""))))))</f>
        <v/>
      </c>
      <c r="F40" s="590" t="str">
        <f>IFERROR(INDEX('Material Handling'!$C$10:$AH$33,MATCH(F$97,Material_Handling[Data],0),MATCH($Q40,'Material Handling'!$C$40:$AH$40,0)), IFERROR(INDEX('Drop Point'!$B$13:$M$36,MATCH(F$97,'Drop Point'!$B$13:$B$37,0),MATCH($Q40,'Drop Point'!$B$41:$M$41,0)),
IFERROR(INDEX('Control - Grain dscf'!$C$11:$N$27,MATCH(F$97,'Control - Grain dscf'!$B$11:$B$27,0),MATCH($Q40,'Control - Grain dscf'!$C$32:$N$32,0)),
IFERROR(INDEX('Control - Alt'!$C$9:$O$27,MATCH(F$97,'Control - Alt'!$B$9:$B$27,0),MATCH($Q40,'Control - Alt'!$C$32:$O$32,0)),
IFERROR(INDEX(Stockpile!$C$10:$M$26,MATCH(F$97,Stockpile!$B$10:$B$26,0),MATCH($Q40,Stockpile!$C$30:$M$30,0)),
IFERROR(INDEX('Asphalt Silo &amp; Unloading'!$D$10:$M$44,MATCH(F$97,'Asphalt Silo &amp; Unloading'!$B$10:$B$44,0),MATCH($Q40,'Asphalt Silo &amp; Unloading'!$D$49:$M$49,0)),""))))))</f>
        <v/>
      </c>
      <c r="G40" s="590" t="str">
        <f>IFERROR(INDEX('Material Handling'!$C$10:$AH$33,MATCH(G$97,Material_Handling[Data],0),MATCH($Q40,'Material Handling'!$C$40:$AH$40,0)), IFERROR(INDEX('Drop Point'!$B$13:$M$36,MATCH(G$97,'Drop Point'!$B$13:$B$37,0),MATCH($Q40,'Drop Point'!$B$41:$M$41,0)),
IFERROR(INDEX('Control - Grain dscf'!$C$11:$N$27,MATCH(G$97,'Control - Grain dscf'!$B$11:$B$27,0),MATCH($Q40,'Control - Grain dscf'!$C$32:$N$32,0)),
IFERROR(INDEX('Control - Alt'!$C$9:$O$27,MATCH(G$97,'Control - Alt'!$B$9:$B$27,0),MATCH($Q40,'Control - Alt'!$C$32:$O$32,0)),
IFERROR(INDEX(Stockpile!$C$10:$M$26,MATCH(G$97,Stockpile!$B$10:$B$26,0),MATCH($Q40,Stockpile!$C$30:$M$30,0)),
IFERROR(INDEX('Asphalt Silo &amp; Unloading'!$D$10:$M$44,MATCH(G$97,'Asphalt Silo &amp; Unloading'!$B$10:$B$44,0),MATCH($Q40,'Asphalt Silo &amp; Unloading'!$D$49:$M$49,0)),""))))))</f>
        <v/>
      </c>
      <c r="H40" s="590" t="str">
        <f>IFERROR(INDEX('Material Handling'!$C$10:$AH$33,MATCH(H$97,Material_Handling[Data],0),MATCH($Q40,'Material Handling'!$C$40:$AH$40,0)), IFERROR(INDEX('Drop Point'!$B$13:$M$36,MATCH(H$97,'Drop Point'!$B$13:$B$37,0),MATCH($Q40,'Drop Point'!$B$41:$M$41,0)),
IFERROR(INDEX('Control - Grain dscf'!$C$11:$N$27,MATCH(H$97,'Control - Grain dscf'!$B$11:$B$27,0),MATCH($Q40,'Control - Grain dscf'!$C$32:$N$32,0)),
IFERROR(INDEX('Control - Alt'!$C$9:$O$27,MATCH(H$97,'Control - Alt'!$B$9:$B$27,0),MATCH($Q40,'Control - Alt'!$C$32:$O$32,0)),
IFERROR(INDEX(Stockpile!$C$10:$M$26,MATCH(H$97,Stockpile!$B$10:$B$26,0),MATCH($Q40,Stockpile!$C$30:$M$30,0)),
IFERROR(INDEX('Asphalt Silo &amp; Unloading'!$D$10:$M$44,MATCH(H$97,'Asphalt Silo &amp; Unloading'!$B$10:$B$44,0),MATCH($Q40,'Asphalt Silo &amp; Unloading'!$D$49:$M$49,0)),""))))))</f>
        <v/>
      </c>
      <c r="I40" s="590" t="str">
        <f>IFERROR(INDEX('Material Handling'!$C$10:$AH$33,MATCH(I$97,Material_Handling[Data],0),MATCH($Q40,'Material Handling'!$C$40:$AH$40,0)), IFERROR(INDEX('Drop Point'!$B$13:$M$36,MATCH(I$97,'Drop Point'!$B$13:$B$37,0),MATCH($Q40,'Drop Point'!$B$41:$M$41,0)),
IFERROR(INDEX('Control - Grain dscf'!$C$11:$N$27,MATCH(I$97,'Control - Grain dscf'!$B$11:$B$27,0),MATCH($Q40,'Control - Grain dscf'!$C$32:$N$32,0)),
IFERROR(INDEX('Control - Alt'!$C$9:$O$27,MATCH(I$97,'Control - Alt'!$B$9:$B$27,0),MATCH($Q40,'Control - Alt'!$C$32:$O$32,0)),
IFERROR(INDEX(Stockpile!$C$10:$M$26,MATCH(I$97,Stockpile!$B$10:$B$26,0),MATCH($Q40,Stockpile!$C$30:$M$30,0)),
IFERROR(INDEX('Asphalt Silo &amp; Unloading'!$D$10:$M$44,MATCH(I$97,'Asphalt Silo &amp; Unloading'!$B$10:$B$44,0),MATCH($Q40,'Asphalt Silo &amp; Unloading'!$D$49:$M$49,0)),""))))))</f>
        <v/>
      </c>
      <c r="J40" s="590" t="str">
        <f>IFERROR(INDEX('Material Handling'!$C$10:$AH$33,MATCH(J$97,Material_Handling[Data],0),MATCH($Q40,'Material Handling'!$C$40:$AH$40,0)), IFERROR(INDEX('Drop Point'!$B$13:$M$36,MATCH(J$97,'Drop Point'!$B$13:$B$37,0),MATCH($Q40,'Drop Point'!$B$41:$M$41,0)),
IFERROR(INDEX('Control - Grain dscf'!$C$11:$N$27,MATCH(J$97,'Control - Grain dscf'!$B$11:$B$27,0),MATCH($Q40,'Control - Grain dscf'!$C$32:$N$32,0)),
IFERROR(INDEX('Control - Alt'!$C$9:$O$27,MATCH(J$97,'Control - Alt'!$B$9:$B$27,0),MATCH($Q40,'Control - Alt'!$C$32:$O$32,0)),
IFERROR(INDEX(Stockpile!$C$10:$M$26,MATCH(J$97,Stockpile!$B$10:$B$26,0),MATCH($Q40,Stockpile!$C$30:$M$30,0)),
IFERROR(INDEX('Asphalt Silo &amp; Unloading'!$D$10:$M$44,MATCH(J$97,'Asphalt Silo &amp; Unloading'!$B$10:$B$44,0),MATCH($Q40,'Asphalt Silo &amp; Unloading'!$D$49:$M$49,0)),""))))))</f>
        <v/>
      </c>
      <c r="K40" s="590" t="str">
        <f>IFERROR(INDEX('Material Handling'!$C$10:$AH$33,MATCH(K$97,Material_Handling[Data],0),MATCH($Q40,'Material Handling'!$C$40:$AH$40,0)), IFERROR(INDEX('Drop Point'!$B$13:$M$36,MATCH(K$97,'Drop Point'!$B$13:$B$37,0),MATCH($Q40,'Drop Point'!$B$41:$M$41,0)),
IFERROR(INDEX('Control - Grain dscf'!$C$11:$N$27,MATCH(K$97,'Control - Grain dscf'!$B$11:$B$27,0),MATCH($Q40,'Control - Grain dscf'!$C$32:$N$32,0)),
IFERROR(INDEX('Control - Alt'!$C$9:$O$27,MATCH(K$97,'Control - Alt'!$B$9:$B$27,0),MATCH($Q40,'Control - Alt'!$C$32:$O$32,0)),
IFERROR(INDEX(Stockpile!$C$10:$M$26,MATCH(K$97,Stockpile!$B$10:$B$26,0),MATCH($Q40,Stockpile!$C$30:$M$30,0)),
IFERROR(INDEX('Asphalt Silo &amp; Unloading'!$D$10:$M$44,MATCH(K$97,'Asphalt Silo &amp; Unloading'!$B$10:$B$44,0),MATCH($Q40,'Asphalt Silo &amp; Unloading'!$D$49:$M$49,0)),""))))))</f>
        <v/>
      </c>
      <c r="L40" s="590" t="str">
        <f>IFERROR(INDEX('Material Handling'!$C$10:$AH$33,MATCH(L$97,Material_Handling[Data],0),MATCH($Q40,'Material Handling'!$C$40:$AH$40,0)), IFERROR(INDEX('Drop Point'!$B$13:$M$36,MATCH(L$97,'Drop Point'!$B$13:$B$37,0),MATCH($Q40,'Drop Point'!$B$41:$M$41,0)),
IFERROR(INDEX('Control - Grain dscf'!$C$11:$N$27,MATCH(L$97,'Control - Grain dscf'!$B$11:$B$27,0),MATCH($Q40,'Control - Grain dscf'!$C$32:$N$32,0)),
IFERROR(INDEX('Control - Alt'!$C$9:$O$27,MATCH(L$97,'Control - Alt'!$B$9:$B$27,0),MATCH($Q40,'Control - Alt'!$C$32:$O$32,0)),
IFERROR(INDEX(Stockpile!$C$10:$M$26,MATCH(L$97,Stockpile!$B$10:$B$26,0),MATCH($Q40,Stockpile!$C$30:$M$30,0)),
IFERROR(INDEX('Asphalt Silo &amp; Unloading'!$D$10:$M$44,MATCH(L$97,'Asphalt Silo &amp; Unloading'!$B$10:$B$44,0),MATCH($Q40,'Asphalt Silo &amp; Unloading'!$D$49:$M$49,0)),""))))))</f>
        <v/>
      </c>
      <c r="M40" s="590" t="str">
        <f>IFERROR(INDEX('Material Handling'!$C$10:$AH$33,MATCH(M$97,Material_Handling[Data],0),MATCH($Q40,'Material Handling'!$C$40:$AH$40,0)), IFERROR(INDEX('Drop Point'!$B$13:$M$36,MATCH(M$97,'Drop Point'!$B$13:$B$37,0),MATCH($Q40,'Drop Point'!$B$41:$M$41,0)),
IFERROR(INDEX('Control - Grain dscf'!$C$11:$N$27,MATCH(M$97,'Control - Grain dscf'!$B$11:$B$27,0),MATCH($Q40,'Control - Grain dscf'!$C$32:$N$32,0)),
IFERROR(INDEX('Control - Alt'!$C$9:$O$27,MATCH(M$97,'Control - Alt'!$B$9:$B$27,0),MATCH($Q40,'Control - Alt'!$C$32:$O$32,0)),
IFERROR(INDEX(Stockpile!$C$10:$M$26,MATCH(M$97,Stockpile!$B$10:$B$26,0),MATCH($Q40,Stockpile!$C$30:$M$30,0)),
IFERROR(INDEX('Asphalt Silo &amp; Unloading'!$D$10:$M$44,MATCH(M$97,'Asphalt Silo &amp; Unloading'!$B$10:$B$44,0),MATCH($Q40,'Asphalt Silo &amp; Unloading'!$D$49:$M$49,0)),""))))))</f>
        <v/>
      </c>
      <c r="N40" s="590" t="str">
        <f>IFERROR(INDEX('Material Handling'!$C$10:$AH$33,MATCH(N$97,Material_Handling[Data],0),MATCH($Q40,'Material Handling'!$C$40:$AH$40,0)), IFERROR(INDEX('Drop Point'!$B$13:$M$36,MATCH(N$97,'Drop Point'!$B$13:$B$37,0),MATCH($Q40,'Drop Point'!$B$41:$M$41,0)),
IFERROR(INDEX('Control - Grain dscf'!$C$11:$N$27,MATCH(N$97,'Control - Grain dscf'!$B$11:$B$27,0),MATCH($Q40,'Control - Grain dscf'!$C$32:$N$32,0)),
IFERROR(INDEX('Control - Alt'!$C$9:$O$27,MATCH(N$97,'Control - Alt'!$B$9:$B$27,0),MATCH($Q40,'Control - Alt'!$C$32:$O$32,0)),
IFERROR(INDEX(Stockpile!$C$10:$M$26,MATCH(N$97,Stockpile!$B$10:$B$26,0),MATCH($Q40,Stockpile!$C$30:$M$30,0)),
IFERROR(INDEX('Asphalt Silo &amp; Unloading'!$D$10:$M$44,MATCH(N$97,'Asphalt Silo &amp; Unloading'!$B$10:$B$44,0),MATCH($Q40,'Asphalt Silo &amp; Unloading'!$D$49:$M$49,0)),""))))))</f>
        <v/>
      </c>
      <c r="O40" s="591" t="str">
        <f>IFERROR(INDEX('Material Handling'!$C$10:$AH$33,MATCH(O$97,Material_Handling[Data],0),MATCH($Q40,'Material Handling'!$C$40:$AH$40,0)), IFERROR(INDEX('Drop Point'!$B$13:$M$36,MATCH(O$97,'Drop Point'!$B$13:$B$37,0),MATCH($Q40,'Drop Point'!$B$41:$M$41,0)),
IFERROR(INDEX('Control - Grain dscf'!$C$11:$N$27,MATCH(O$97,'Control - Grain dscf'!$B$11:$B$27,0),MATCH($Q40,'Control - Grain dscf'!$C$32:$N$32,0)),
IFERROR(INDEX('Control - Alt'!$C$9:$O$27,MATCH(O$97,'Control - Alt'!$B$9:$B$27,0),MATCH($Q40,'Control - Alt'!$C$32:$O$32,0)),
IFERROR(INDEX(Stockpile!$C$10:$M$26,MATCH(O$97,Stockpile!$B$10:$B$26,0),MATCH($Q40,Stockpile!$C$30:$M$30,0)),
IFERROR(INDEX('Asphalt Silo &amp; Unloading'!$D$10:$M$44,MATCH(O$97,'Asphalt Silo &amp; Unloading'!$B$10:$B$44,0),MATCH($Q40,'Asphalt Silo &amp; Unloading'!$D$49:$M$49,0)),""))))))</f>
        <v/>
      </c>
      <c r="Q40" s="131">
        <f t="shared" si="0"/>
        <v>32</v>
      </c>
    </row>
    <row r="41" spans="1:17" ht="20.100000000000001" customHeight="1">
      <c r="A41" s="293" t="str">
        <f>IFERROR(INDEX('Material Handling'!$C$10:$AH$33,MATCH(A$97,Material_Handling[Data],0),MATCH($Q41,'Material Handling'!$C$40:$AH$40,0)), IFERROR(INDEX('Drop Point'!$B$13:$M$36,MATCH(A$97,'Drop Point'!$B$13:$B$37,0),MATCH($Q41,'Drop Point'!$B$41:$M$41,0)),
IFERROR(INDEX('Control - Grain dscf'!$C$11:$N$27,MATCH(A$97,'Control - Grain dscf'!$B$11:$B$27,0),MATCH($Q41,'Control - Grain dscf'!$C$32:$N$32,0)),
IFERROR(INDEX('Control - Alt'!$C$9:$O$27,MATCH(A$97,'Control - Alt'!$B$9:$B$27,0),MATCH($Q41,'Control - Alt'!$C$32:$O$32,0)),
IFERROR(INDEX(Stockpile!$C$10:$M$26,MATCH(A$97,Stockpile!$B$10:$B$26,0),MATCH($Q41,Stockpile!$C$30:$M$30,0)),
IFERROR(INDEX('Asphalt Silo &amp; Unloading'!$D$10:$M$44,MATCH(A$97,'Asphalt Silo &amp; Unloading'!$B$10:$B$44,0),MATCH($Q41,'Asphalt Silo &amp; Unloading'!$D$49:$M$49,0)),""))))))</f>
        <v/>
      </c>
      <c r="B41" s="135" t="str">
        <f>IFERROR(INDEX('Material Handling'!$C$10:$AH$33,MATCH(B$97,Material_Handling[Data],0),MATCH($Q41,'Material Handling'!$C$40:$AH$40,0)), IFERROR(INDEX('Drop Point'!$B$13:$M$36,MATCH(B$97,'Drop Point'!$B$13:$B$37,0),MATCH($Q41,'Drop Point'!$B$41:$M$41,0)),
IFERROR(INDEX('Control - Grain dscf'!$C$11:$N$27,MATCH(B$97,'Control - Grain dscf'!$B$11:$B$27,0),MATCH($Q41,'Control - Grain dscf'!$C$32:$N$32,0)),
IFERROR(INDEX('Control - Alt'!$C$9:$O$27,MATCH(B$97,'Control - Alt'!$B$9:$B$27,0),MATCH($Q41,'Control - Alt'!$C$32:$O$32,0)),
IFERROR(INDEX(Stockpile!$C$10:$M$26,MATCH(B$97,Stockpile!$B$10:$B$26,0),MATCH($Q41,Stockpile!$C$30:$M$30,0)),
IFERROR(INDEX('Asphalt Silo &amp; Unloading'!$D$10:$M$44,MATCH(B$97,'Asphalt Silo &amp; Unloading'!$B$10:$B$44,0),MATCH($Q41,'Asphalt Silo &amp; Unloading'!$D$49:$M$49,0)),""))))))</f>
        <v/>
      </c>
      <c r="C41" s="135" t="str">
        <f>IFERROR(INDEX('Material Handling'!$C$10:$AH$33,MATCH(C$97,Material_Handling[Data],0),MATCH($Q41,'Material Handling'!$C$40:$AH$40,0)), IFERROR(INDEX('Drop Point'!$B$13:$M$36,MATCH(C$97,'Drop Point'!$B$13:$B$37,0),MATCH($Q41,'Drop Point'!$B$41:$M$41,0)),
IFERROR(INDEX('Control - Grain dscf'!$C$11:$N$27,MATCH(C$97,'Control - Grain dscf'!$B$11:$B$27,0),MATCH($Q41,'Control - Grain dscf'!$C$32:$N$32,0)),
IFERROR(INDEX('Control - Alt'!$C$9:$O$27,MATCH(C$97,'Control - Alt'!$B$9:$B$27,0),MATCH($Q41,'Control - Alt'!$C$32:$O$32,0)),
IFERROR(INDEX(Stockpile!$C$10:$M$26,MATCH(C$97,Stockpile!$B$10:$B$26,0),MATCH($Q41,Stockpile!$C$30:$M$30,0)),
IFERROR(INDEX('Asphalt Silo &amp; Unloading'!$D$10:$M$44,MATCH(C$97,'Asphalt Silo &amp; Unloading'!$B$10:$B$44,0),MATCH($Q41,'Asphalt Silo &amp; Unloading'!$D$49:$M$49,0)),""))))))</f>
        <v/>
      </c>
      <c r="D41" s="135" t="str">
        <f>IFERROR(INDEX('Material Handling'!$C$10:$AH$33,MATCH(D$97,Material_Handling[Data],0),MATCH($Q41,'Material Handling'!$C$40:$AH$40,0)), IFERROR(INDEX('Drop Point'!$B$13:$M$36,MATCH(D$97,'Drop Point'!$B$13:$B$37,0),MATCH($Q41,'Drop Point'!$B$41:$M$41,0)),
IFERROR(INDEX('Control - Grain dscf'!$C$11:$N$27,MATCH(D$97,'Control - Grain dscf'!$B$11:$B$27,0),MATCH($Q41,'Control - Grain dscf'!$C$32:$N$32,0)),
IFERROR(INDEX('Control - Alt'!$C$9:$O$27,MATCH(D$97,'Control - Alt'!$B$9:$B$27,0),MATCH($Q41,'Control - Alt'!$C$32:$O$32,0)),
IFERROR(INDEX(Stockpile!$C$10:$M$26,MATCH(D$97,Stockpile!$B$10:$B$26,0),MATCH($Q41,Stockpile!$C$30:$M$30,0)),
IFERROR(INDEX('Asphalt Silo &amp; Unloading'!$D$10:$M$44,MATCH(D$97,'Asphalt Silo &amp; Unloading'!$B$10:$B$44,0),MATCH($Q41,'Asphalt Silo &amp; Unloading'!$D$49:$M$49,0)),""))))))</f>
        <v/>
      </c>
      <c r="E41" s="620" t="str">
        <f>IFERROR(INDEX('Material Handling'!$C$10:$AH$33,MATCH(E$97,Material_Handling[Data],0),MATCH($Q41,'Material Handling'!$C$40:$AH$40,0)), IFERROR(INDEX('Drop Point'!$B$13:$M$36,MATCH(E$97,'Drop Point'!$B$13:$B$37,0),MATCH($Q41,'Drop Point'!$B$41:$M$41,0)),
IFERROR(INDEX('Control - Grain dscf'!$C$11:$N$27,MATCH(E$97,'Control - Grain dscf'!$B$11:$B$27,0),MATCH($Q41,'Control - Grain dscf'!$C$32:$N$32,0)),
IFERROR(INDEX('Control - Alt'!$C$9:$O$27,MATCH(E$97,'Control - Alt'!$B$9:$B$27,0),MATCH($Q41,'Control - Alt'!$C$32:$O$32,0)),
IFERROR(INDEX(Stockpile!$C$10:$M$26,MATCH(E$97,Stockpile!$B$10:$B$26,0),MATCH($Q41,Stockpile!$C$30:$M$30,0)),
IFERROR(INDEX('Asphalt Silo &amp; Unloading'!$D$10:$M$44,MATCH(E$97,'Asphalt Silo &amp; Unloading'!$B$10:$B$44,0),MATCH($Q41,'Asphalt Silo &amp; Unloading'!$D$49:$M$49,0)),""))))))</f>
        <v/>
      </c>
      <c r="F41" s="590" t="str">
        <f>IFERROR(INDEX('Material Handling'!$C$10:$AH$33,MATCH(F$97,Material_Handling[Data],0),MATCH($Q41,'Material Handling'!$C$40:$AH$40,0)), IFERROR(INDEX('Drop Point'!$B$13:$M$36,MATCH(F$97,'Drop Point'!$B$13:$B$37,0),MATCH($Q41,'Drop Point'!$B$41:$M$41,0)),
IFERROR(INDEX('Control - Grain dscf'!$C$11:$N$27,MATCH(F$97,'Control - Grain dscf'!$B$11:$B$27,0),MATCH($Q41,'Control - Grain dscf'!$C$32:$N$32,0)),
IFERROR(INDEX('Control - Alt'!$C$9:$O$27,MATCH(F$97,'Control - Alt'!$B$9:$B$27,0),MATCH($Q41,'Control - Alt'!$C$32:$O$32,0)),
IFERROR(INDEX(Stockpile!$C$10:$M$26,MATCH(F$97,Stockpile!$B$10:$B$26,0),MATCH($Q41,Stockpile!$C$30:$M$30,0)),
IFERROR(INDEX('Asphalt Silo &amp; Unloading'!$D$10:$M$44,MATCH(F$97,'Asphalt Silo &amp; Unloading'!$B$10:$B$44,0),MATCH($Q41,'Asphalt Silo &amp; Unloading'!$D$49:$M$49,0)),""))))))</f>
        <v/>
      </c>
      <c r="G41" s="590" t="str">
        <f>IFERROR(INDEX('Material Handling'!$C$10:$AH$33,MATCH(G$97,Material_Handling[Data],0),MATCH($Q41,'Material Handling'!$C$40:$AH$40,0)), IFERROR(INDEX('Drop Point'!$B$13:$M$36,MATCH(G$97,'Drop Point'!$B$13:$B$37,0),MATCH($Q41,'Drop Point'!$B$41:$M$41,0)),
IFERROR(INDEX('Control - Grain dscf'!$C$11:$N$27,MATCH(G$97,'Control - Grain dscf'!$B$11:$B$27,0),MATCH($Q41,'Control - Grain dscf'!$C$32:$N$32,0)),
IFERROR(INDEX('Control - Alt'!$C$9:$O$27,MATCH(G$97,'Control - Alt'!$B$9:$B$27,0),MATCH($Q41,'Control - Alt'!$C$32:$O$32,0)),
IFERROR(INDEX(Stockpile!$C$10:$M$26,MATCH(G$97,Stockpile!$B$10:$B$26,0),MATCH($Q41,Stockpile!$C$30:$M$30,0)),
IFERROR(INDEX('Asphalt Silo &amp; Unloading'!$D$10:$M$44,MATCH(G$97,'Asphalt Silo &amp; Unloading'!$B$10:$B$44,0),MATCH($Q41,'Asphalt Silo &amp; Unloading'!$D$49:$M$49,0)),""))))))</f>
        <v/>
      </c>
      <c r="H41" s="590" t="str">
        <f>IFERROR(INDEX('Material Handling'!$C$10:$AH$33,MATCH(H$97,Material_Handling[Data],0),MATCH($Q41,'Material Handling'!$C$40:$AH$40,0)), IFERROR(INDEX('Drop Point'!$B$13:$M$36,MATCH(H$97,'Drop Point'!$B$13:$B$37,0),MATCH($Q41,'Drop Point'!$B$41:$M$41,0)),
IFERROR(INDEX('Control - Grain dscf'!$C$11:$N$27,MATCH(H$97,'Control - Grain dscf'!$B$11:$B$27,0),MATCH($Q41,'Control - Grain dscf'!$C$32:$N$32,0)),
IFERROR(INDEX('Control - Alt'!$C$9:$O$27,MATCH(H$97,'Control - Alt'!$B$9:$B$27,0),MATCH($Q41,'Control - Alt'!$C$32:$O$32,0)),
IFERROR(INDEX(Stockpile!$C$10:$M$26,MATCH(H$97,Stockpile!$B$10:$B$26,0),MATCH($Q41,Stockpile!$C$30:$M$30,0)),
IFERROR(INDEX('Asphalt Silo &amp; Unloading'!$D$10:$M$44,MATCH(H$97,'Asphalt Silo &amp; Unloading'!$B$10:$B$44,0),MATCH($Q41,'Asphalt Silo &amp; Unloading'!$D$49:$M$49,0)),""))))))</f>
        <v/>
      </c>
      <c r="I41" s="590" t="str">
        <f>IFERROR(INDEX('Material Handling'!$C$10:$AH$33,MATCH(I$97,Material_Handling[Data],0),MATCH($Q41,'Material Handling'!$C$40:$AH$40,0)), IFERROR(INDEX('Drop Point'!$B$13:$M$36,MATCH(I$97,'Drop Point'!$B$13:$B$37,0),MATCH($Q41,'Drop Point'!$B$41:$M$41,0)),
IFERROR(INDEX('Control - Grain dscf'!$C$11:$N$27,MATCH(I$97,'Control - Grain dscf'!$B$11:$B$27,0),MATCH($Q41,'Control - Grain dscf'!$C$32:$N$32,0)),
IFERROR(INDEX('Control - Alt'!$C$9:$O$27,MATCH(I$97,'Control - Alt'!$B$9:$B$27,0),MATCH($Q41,'Control - Alt'!$C$32:$O$32,0)),
IFERROR(INDEX(Stockpile!$C$10:$M$26,MATCH(I$97,Stockpile!$B$10:$B$26,0),MATCH($Q41,Stockpile!$C$30:$M$30,0)),
IFERROR(INDEX('Asphalt Silo &amp; Unloading'!$D$10:$M$44,MATCH(I$97,'Asphalt Silo &amp; Unloading'!$B$10:$B$44,0),MATCH($Q41,'Asphalt Silo &amp; Unloading'!$D$49:$M$49,0)),""))))))</f>
        <v/>
      </c>
      <c r="J41" s="590" t="str">
        <f>IFERROR(INDEX('Material Handling'!$C$10:$AH$33,MATCH(J$97,Material_Handling[Data],0),MATCH($Q41,'Material Handling'!$C$40:$AH$40,0)), IFERROR(INDEX('Drop Point'!$B$13:$M$36,MATCH(J$97,'Drop Point'!$B$13:$B$37,0),MATCH($Q41,'Drop Point'!$B$41:$M$41,0)),
IFERROR(INDEX('Control - Grain dscf'!$C$11:$N$27,MATCH(J$97,'Control - Grain dscf'!$B$11:$B$27,0),MATCH($Q41,'Control - Grain dscf'!$C$32:$N$32,0)),
IFERROR(INDEX('Control - Alt'!$C$9:$O$27,MATCH(J$97,'Control - Alt'!$B$9:$B$27,0),MATCH($Q41,'Control - Alt'!$C$32:$O$32,0)),
IFERROR(INDEX(Stockpile!$C$10:$M$26,MATCH(J$97,Stockpile!$B$10:$B$26,0),MATCH($Q41,Stockpile!$C$30:$M$30,0)),
IFERROR(INDEX('Asphalt Silo &amp; Unloading'!$D$10:$M$44,MATCH(J$97,'Asphalt Silo &amp; Unloading'!$B$10:$B$44,0),MATCH($Q41,'Asphalt Silo &amp; Unloading'!$D$49:$M$49,0)),""))))))</f>
        <v/>
      </c>
      <c r="K41" s="590" t="str">
        <f>IFERROR(INDEX('Material Handling'!$C$10:$AH$33,MATCH(K$97,Material_Handling[Data],0),MATCH($Q41,'Material Handling'!$C$40:$AH$40,0)), IFERROR(INDEX('Drop Point'!$B$13:$M$36,MATCH(K$97,'Drop Point'!$B$13:$B$37,0),MATCH($Q41,'Drop Point'!$B$41:$M$41,0)),
IFERROR(INDEX('Control - Grain dscf'!$C$11:$N$27,MATCH(K$97,'Control - Grain dscf'!$B$11:$B$27,0),MATCH($Q41,'Control - Grain dscf'!$C$32:$N$32,0)),
IFERROR(INDEX('Control - Alt'!$C$9:$O$27,MATCH(K$97,'Control - Alt'!$B$9:$B$27,0),MATCH($Q41,'Control - Alt'!$C$32:$O$32,0)),
IFERROR(INDEX(Stockpile!$C$10:$M$26,MATCH(K$97,Stockpile!$B$10:$B$26,0),MATCH($Q41,Stockpile!$C$30:$M$30,0)),
IFERROR(INDEX('Asphalt Silo &amp; Unloading'!$D$10:$M$44,MATCH(K$97,'Asphalt Silo &amp; Unloading'!$B$10:$B$44,0),MATCH($Q41,'Asphalt Silo &amp; Unloading'!$D$49:$M$49,0)),""))))))</f>
        <v/>
      </c>
      <c r="L41" s="590" t="str">
        <f>IFERROR(INDEX('Material Handling'!$C$10:$AH$33,MATCH(L$97,Material_Handling[Data],0),MATCH($Q41,'Material Handling'!$C$40:$AH$40,0)), IFERROR(INDEX('Drop Point'!$B$13:$M$36,MATCH(L$97,'Drop Point'!$B$13:$B$37,0),MATCH($Q41,'Drop Point'!$B$41:$M$41,0)),
IFERROR(INDEX('Control - Grain dscf'!$C$11:$N$27,MATCH(L$97,'Control - Grain dscf'!$B$11:$B$27,0),MATCH($Q41,'Control - Grain dscf'!$C$32:$N$32,0)),
IFERROR(INDEX('Control - Alt'!$C$9:$O$27,MATCH(L$97,'Control - Alt'!$B$9:$B$27,0),MATCH($Q41,'Control - Alt'!$C$32:$O$32,0)),
IFERROR(INDEX(Stockpile!$C$10:$M$26,MATCH(L$97,Stockpile!$B$10:$B$26,0),MATCH($Q41,Stockpile!$C$30:$M$30,0)),
IFERROR(INDEX('Asphalt Silo &amp; Unloading'!$D$10:$M$44,MATCH(L$97,'Asphalt Silo &amp; Unloading'!$B$10:$B$44,0),MATCH($Q41,'Asphalt Silo &amp; Unloading'!$D$49:$M$49,0)),""))))))</f>
        <v/>
      </c>
      <c r="M41" s="590" t="str">
        <f>IFERROR(INDEX('Material Handling'!$C$10:$AH$33,MATCH(M$97,Material_Handling[Data],0),MATCH($Q41,'Material Handling'!$C$40:$AH$40,0)), IFERROR(INDEX('Drop Point'!$B$13:$M$36,MATCH(M$97,'Drop Point'!$B$13:$B$37,0),MATCH($Q41,'Drop Point'!$B$41:$M$41,0)),
IFERROR(INDEX('Control - Grain dscf'!$C$11:$N$27,MATCH(M$97,'Control - Grain dscf'!$B$11:$B$27,0),MATCH($Q41,'Control - Grain dscf'!$C$32:$N$32,0)),
IFERROR(INDEX('Control - Alt'!$C$9:$O$27,MATCH(M$97,'Control - Alt'!$B$9:$B$27,0),MATCH($Q41,'Control - Alt'!$C$32:$O$32,0)),
IFERROR(INDEX(Stockpile!$C$10:$M$26,MATCH(M$97,Stockpile!$B$10:$B$26,0),MATCH($Q41,Stockpile!$C$30:$M$30,0)),
IFERROR(INDEX('Asphalt Silo &amp; Unloading'!$D$10:$M$44,MATCH(M$97,'Asphalt Silo &amp; Unloading'!$B$10:$B$44,0),MATCH($Q41,'Asphalt Silo &amp; Unloading'!$D$49:$M$49,0)),""))))))</f>
        <v/>
      </c>
      <c r="N41" s="590" t="str">
        <f>IFERROR(INDEX('Material Handling'!$C$10:$AH$33,MATCH(N$97,Material_Handling[Data],0),MATCH($Q41,'Material Handling'!$C$40:$AH$40,0)), IFERROR(INDEX('Drop Point'!$B$13:$M$36,MATCH(N$97,'Drop Point'!$B$13:$B$37,0),MATCH($Q41,'Drop Point'!$B$41:$M$41,0)),
IFERROR(INDEX('Control - Grain dscf'!$C$11:$N$27,MATCH(N$97,'Control - Grain dscf'!$B$11:$B$27,0),MATCH($Q41,'Control - Grain dscf'!$C$32:$N$32,0)),
IFERROR(INDEX('Control - Alt'!$C$9:$O$27,MATCH(N$97,'Control - Alt'!$B$9:$B$27,0),MATCH($Q41,'Control - Alt'!$C$32:$O$32,0)),
IFERROR(INDEX(Stockpile!$C$10:$M$26,MATCH(N$97,Stockpile!$B$10:$B$26,0),MATCH($Q41,Stockpile!$C$30:$M$30,0)),
IFERROR(INDEX('Asphalt Silo &amp; Unloading'!$D$10:$M$44,MATCH(N$97,'Asphalt Silo &amp; Unloading'!$B$10:$B$44,0),MATCH($Q41,'Asphalt Silo &amp; Unloading'!$D$49:$M$49,0)),""))))))</f>
        <v/>
      </c>
      <c r="O41" s="591" t="str">
        <f>IFERROR(INDEX('Material Handling'!$C$10:$AH$33,MATCH(O$97,Material_Handling[Data],0),MATCH($Q41,'Material Handling'!$C$40:$AH$40,0)), IFERROR(INDEX('Drop Point'!$B$13:$M$36,MATCH(O$97,'Drop Point'!$B$13:$B$37,0),MATCH($Q41,'Drop Point'!$B$41:$M$41,0)),
IFERROR(INDEX('Control - Grain dscf'!$C$11:$N$27,MATCH(O$97,'Control - Grain dscf'!$B$11:$B$27,0),MATCH($Q41,'Control - Grain dscf'!$C$32:$N$32,0)),
IFERROR(INDEX('Control - Alt'!$C$9:$O$27,MATCH(O$97,'Control - Alt'!$B$9:$B$27,0),MATCH($Q41,'Control - Alt'!$C$32:$O$32,0)),
IFERROR(INDEX(Stockpile!$C$10:$M$26,MATCH(O$97,Stockpile!$B$10:$B$26,0),MATCH($Q41,Stockpile!$C$30:$M$30,0)),
IFERROR(INDEX('Asphalt Silo &amp; Unloading'!$D$10:$M$44,MATCH(O$97,'Asphalt Silo &amp; Unloading'!$B$10:$B$44,0),MATCH($Q41,'Asphalt Silo &amp; Unloading'!$D$49:$M$49,0)),""))))))</f>
        <v/>
      </c>
      <c r="Q41" s="131">
        <f t="shared" si="0"/>
        <v>33</v>
      </c>
    </row>
    <row r="42" spans="1:17" ht="20.100000000000001" customHeight="1">
      <c r="A42" s="293" t="str">
        <f>IFERROR(INDEX('Material Handling'!$C$10:$AH$33,MATCH(A$97,Material_Handling[Data],0),MATCH($Q42,'Material Handling'!$C$40:$AH$40,0)), IFERROR(INDEX('Drop Point'!$B$13:$M$36,MATCH(A$97,'Drop Point'!$B$13:$B$37,0),MATCH($Q42,'Drop Point'!$B$41:$M$41,0)),
IFERROR(INDEX('Control - Grain dscf'!$C$11:$N$27,MATCH(A$97,'Control - Grain dscf'!$B$11:$B$27,0),MATCH($Q42,'Control - Grain dscf'!$C$32:$N$32,0)),
IFERROR(INDEX('Control - Alt'!$C$9:$O$27,MATCH(A$97,'Control - Alt'!$B$9:$B$27,0),MATCH($Q42,'Control - Alt'!$C$32:$O$32,0)),
IFERROR(INDEX(Stockpile!$C$10:$M$26,MATCH(A$97,Stockpile!$B$10:$B$26,0),MATCH($Q42,Stockpile!$C$30:$M$30,0)),
IFERROR(INDEX('Asphalt Silo &amp; Unloading'!$D$10:$M$44,MATCH(A$97,'Asphalt Silo &amp; Unloading'!$B$10:$B$44,0),MATCH($Q42,'Asphalt Silo &amp; Unloading'!$D$49:$M$49,0)),""))))))</f>
        <v/>
      </c>
      <c r="B42" s="135" t="str">
        <f>IFERROR(INDEX('Material Handling'!$C$10:$AH$33,MATCH(B$97,Material_Handling[Data],0),MATCH($Q42,'Material Handling'!$C$40:$AH$40,0)), IFERROR(INDEX('Drop Point'!$B$13:$M$36,MATCH(B$97,'Drop Point'!$B$13:$B$37,0),MATCH($Q42,'Drop Point'!$B$41:$M$41,0)),
IFERROR(INDEX('Control - Grain dscf'!$C$11:$N$27,MATCH(B$97,'Control - Grain dscf'!$B$11:$B$27,0),MATCH($Q42,'Control - Grain dscf'!$C$32:$N$32,0)),
IFERROR(INDEX('Control - Alt'!$C$9:$O$27,MATCH(B$97,'Control - Alt'!$B$9:$B$27,0),MATCH($Q42,'Control - Alt'!$C$32:$O$32,0)),
IFERROR(INDEX(Stockpile!$C$10:$M$26,MATCH(B$97,Stockpile!$B$10:$B$26,0),MATCH($Q42,Stockpile!$C$30:$M$30,0)),
IFERROR(INDEX('Asphalt Silo &amp; Unloading'!$D$10:$M$44,MATCH(B$97,'Asphalt Silo &amp; Unloading'!$B$10:$B$44,0),MATCH($Q42,'Asphalt Silo &amp; Unloading'!$D$49:$M$49,0)),""))))))</f>
        <v/>
      </c>
      <c r="C42" s="135" t="str">
        <f>IFERROR(INDEX('Material Handling'!$C$10:$AH$33,MATCH(C$97,Material_Handling[Data],0),MATCH($Q42,'Material Handling'!$C$40:$AH$40,0)), IFERROR(INDEX('Drop Point'!$B$13:$M$36,MATCH(C$97,'Drop Point'!$B$13:$B$37,0),MATCH($Q42,'Drop Point'!$B$41:$M$41,0)),
IFERROR(INDEX('Control - Grain dscf'!$C$11:$N$27,MATCH(C$97,'Control - Grain dscf'!$B$11:$B$27,0),MATCH($Q42,'Control - Grain dscf'!$C$32:$N$32,0)),
IFERROR(INDEX('Control - Alt'!$C$9:$O$27,MATCH(C$97,'Control - Alt'!$B$9:$B$27,0),MATCH($Q42,'Control - Alt'!$C$32:$O$32,0)),
IFERROR(INDEX(Stockpile!$C$10:$M$26,MATCH(C$97,Stockpile!$B$10:$B$26,0),MATCH($Q42,Stockpile!$C$30:$M$30,0)),
IFERROR(INDEX('Asphalt Silo &amp; Unloading'!$D$10:$M$44,MATCH(C$97,'Asphalt Silo &amp; Unloading'!$B$10:$B$44,0),MATCH($Q42,'Asphalt Silo &amp; Unloading'!$D$49:$M$49,0)),""))))))</f>
        <v/>
      </c>
      <c r="D42" s="135" t="str">
        <f>IFERROR(INDEX('Material Handling'!$C$10:$AH$33,MATCH(D$97,Material_Handling[Data],0),MATCH($Q42,'Material Handling'!$C$40:$AH$40,0)), IFERROR(INDEX('Drop Point'!$B$13:$M$36,MATCH(D$97,'Drop Point'!$B$13:$B$37,0),MATCH($Q42,'Drop Point'!$B$41:$M$41,0)),
IFERROR(INDEX('Control - Grain dscf'!$C$11:$N$27,MATCH(D$97,'Control - Grain dscf'!$B$11:$B$27,0),MATCH($Q42,'Control - Grain dscf'!$C$32:$N$32,0)),
IFERROR(INDEX('Control - Alt'!$C$9:$O$27,MATCH(D$97,'Control - Alt'!$B$9:$B$27,0),MATCH($Q42,'Control - Alt'!$C$32:$O$32,0)),
IFERROR(INDEX(Stockpile!$C$10:$M$26,MATCH(D$97,Stockpile!$B$10:$B$26,0),MATCH($Q42,Stockpile!$C$30:$M$30,0)),
IFERROR(INDEX('Asphalt Silo &amp; Unloading'!$D$10:$M$44,MATCH(D$97,'Asphalt Silo &amp; Unloading'!$B$10:$B$44,0),MATCH($Q42,'Asphalt Silo &amp; Unloading'!$D$49:$M$49,0)),""))))))</f>
        <v/>
      </c>
      <c r="E42" s="620" t="str">
        <f>IFERROR(INDEX('Material Handling'!$C$10:$AH$33,MATCH(E$97,Material_Handling[Data],0),MATCH($Q42,'Material Handling'!$C$40:$AH$40,0)), IFERROR(INDEX('Drop Point'!$B$13:$M$36,MATCH(E$97,'Drop Point'!$B$13:$B$37,0),MATCH($Q42,'Drop Point'!$B$41:$M$41,0)),
IFERROR(INDEX('Control - Grain dscf'!$C$11:$N$27,MATCH(E$97,'Control - Grain dscf'!$B$11:$B$27,0),MATCH($Q42,'Control - Grain dscf'!$C$32:$N$32,0)),
IFERROR(INDEX('Control - Alt'!$C$9:$O$27,MATCH(E$97,'Control - Alt'!$B$9:$B$27,0),MATCH($Q42,'Control - Alt'!$C$32:$O$32,0)),
IFERROR(INDEX(Stockpile!$C$10:$M$26,MATCH(E$97,Stockpile!$B$10:$B$26,0),MATCH($Q42,Stockpile!$C$30:$M$30,0)),
IFERROR(INDEX('Asphalt Silo &amp; Unloading'!$D$10:$M$44,MATCH(E$97,'Asphalt Silo &amp; Unloading'!$B$10:$B$44,0),MATCH($Q42,'Asphalt Silo &amp; Unloading'!$D$49:$M$49,0)),""))))))</f>
        <v/>
      </c>
      <c r="F42" s="590" t="str">
        <f>IFERROR(INDEX('Material Handling'!$C$10:$AH$33,MATCH(F$97,Material_Handling[Data],0),MATCH($Q42,'Material Handling'!$C$40:$AH$40,0)), IFERROR(INDEX('Drop Point'!$B$13:$M$36,MATCH(F$97,'Drop Point'!$B$13:$B$37,0),MATCH($Q42,'Drop Point'!$B$41:$M$41,0)),
IFERROR(INDEX('Control - Grain dscf'!$C$11:$N$27,MATCH(F$97,'Control - Grain dscf'!$B$11:$B$27,0),MATCH($Q42,'Control - Grain dscf'!$C$32:$N$32,0)),
IFERROR(INDEX('Control - Alt'!$C$9:$O$27,MATCH(F$97,'Control - Alt'!$B$9:$B$27,0),MATCH($Q42,'Control - Alt'!$C$32:$O$32,0)),
IFERROR(INDEX(Stockpile!$C$10:$M$26,MATCH(F$97,Stockpile!$B$10:$B$26,0),MATCH($Q42,Stockpile!$C$30:$M$30,0)),
IFERROR(INDEX('Asphalt Silo &amp; Unloading'!$D$10:$M$44,MATCH(F$97,'Asphalt Silo &amp; Unloading'!$B$10:$B$44,0),MATCH($Q42,'Asphalt Silo &amp; Unloading'!$D$49:$M$49,0)),""))))))</f>
        <v/>
      </c>
      <c r="G42" s="590" t="str">
        <f>IFERROR(INDEX('Material Handling'!$C$10:$AH$33,MATCH(G$97,Material_Handling[Data],0),MATCH($Q42,'Material Handling'!$C$40:$AH$40,0)), IFERROR(INDEX('Drop Point'!$B$13:$M$36,MATCH(G$97,'Drop Point'!$B$13:$B$37,0),MATCH($Q42,'Drop Point'!$B$41:$M$41,0)),
IFERROR(INDEX('Control - Grain dscf'!$C$11:$N$27,MATCH(G$97,'Control - Grain dscf'!$B$11:$B$27,0),MATCH($Q42,'Control - Grain dscf'!$C$32:$N$32,0)),
IFERROR(INDEX('Control - Alt'!$C$9:$O$27,MATCH(G$97,'Control - Alt'!$B$9:$B$27,0),MATCH($Q42,'Control - Alt'!$C$32:$O$32,0)),
IFERROR(INDEX(Stockpile!$C$10:$M$26,MATCH(G$97,Stockpile!$B$10:$B$26,0),MATCH($Q42,Stockpile!$C$30:$M$30,0)),
IFERROR(INDEX('Asphalt Silo &amp; Unloading'!$D$10:$M$44,MATCH(G$97,'Asphalt Silo &amp; Unloading'!$B$10:$B$44,0),MATCH($Q42,'Asphalt Silo &amp; Unloading'!$D$49:$M$49,0)),""))))))</f>
        <v/>
      </c>
      <c r="H42" s="590" t="str">
        <f>IFERROR(INDEX('Material Handling'!$C$10:$AH$33,MATCH(H$97,Material_Handling[Data],0),MATCH($Q42,'Material Handling'!$C$40:$AH$40,0)), IFERROR(INDEX('Drop Point'!$B$13:$M$36,MATCH(H$97,'Drop Point'!$B$13:$B$37,0),MATCH($Q42,'Drop Point'!$B$41:$M$41,0)),
IFERROR(INDEX('Control - Grain dscf'!$C$11:$N$27,MATCH(H$97,'Control - Grain dscf'!$B$11:$B$27,0),MATCH($Q42,'Control - Grain dscf'!$C$32:$N$32,0)),
IFERROR(INDEX('Control - Alt'!$C$9:$O$27,MATCH(H$97,'Control - Alt'!$B$9:$B$27,0),MATCH($Q42,'Control - Alt'!$C$32:$O$32,0)),
IFERROR(INDEX(Stockpile!$C$10:$M$26,MATCH(H$97,Stockpile!$B$10:$B$26,0),MATCH($Q42,Stockpile!$C$30:$M$30,0)),
IFERROR(INDEX('Asphalt Silo &amp; Unloading'!$D$10:$M$44,MATCH(H$97,'Asphalt Silo &amp; Unloading'!$B$10:$B$44,0),MATCH($Q42,'Asphalt Silo &amp; Unloading'!$D$49:$M$49,0)),""))))))</f>
        <v/>
      </c>
      <c r="I42" s="590" t="str">
        <f>IFERROR(INDEX('Material Handling'!$C$10:$AH$33,MATCH(I$97,Material_Handling[Data],0),MATCH($Q42,'Material Handling'!$C$40:$AH$40,0)), IFERROR(INDEX('Drop Point'!$B$13:$M$36,MATCH(I$97,'Drop Point'!$B$13:$B$37,0),MATCH($Q42,'Drop Point'!$B$41:$M$41,0)),
IFERROR(INDEX('Control - Grain dscf'!$C$11:$N$27,MATCH(I$97,'Control - Grain dscf'!$B$11:$B$27,0),MATCH($Q42,'Control - Grain dscf'!$C$32:$N$32,0)),
IFERROR(INDEX('Control - Alt'!$C$9:$O$27,MATCH(I$97,'Control - Alt'!$B$9:$B$27,0),MATCH($Q42,'Control - Alt'!$C$32:$O$32,0)),
IFERROR(INDEX(Stockpile!$C$10:$M$26,MATCH(I$97,Stockpile!$B$10:$B$26,0),MATCH($Q42,Stockpile!$C$30:$M$30,0)),
IFERROR(INDEX('Asphalt Silo &amp; Unloading'!$D$10:$M$44,MATCH(I$97,'Asphalt Silo &amp; Unloading'!$B$10:$B$44,0),MATCH($Q42,'Asphalt Silo &amp; Unloading'!$D$49:$M$49,0)),""))))))</f>
        <v/>
      </c>
      <c r="J42" s="590" t="str">
        <f>IFERROR(INDEX('Material Handling'!$C$10:$AH$33,MATCH(J$97,Material_Handling[Data],0),MATCH($Q42,'Material Handling'!$C$40:$AH$40,0)), IFERROR(INDEX('Drop Point'!$B$13:$M$36,MATCH(J$97,'Drop Point'!$B$13:$B$37,0),MATCH($Q42,'Drop Point'!$B$41:$M$41,0)),
IFERROR(INDEX('Control - Grain dscf'!$C$11:$N$27,MATCH(J$97,'Control - Grain dscf'!$B$11:$B$27,0),MATCH($Q42,'Control - Grain dscf'!$C$32:$N$32,0)),
IFERROR(INDEX('Control - Alt'!$C$9:$O$27,MATCH(J$97,'Control - Alt'!$B$9:$B$27,0),MATCH($Q42,'Control - Alt'!$C$32:$O$32,0)),
IFERROR(INDEX(Stockpile!$C$10:$M$26,MATCH(J$97,Stockpile!$B$10:$B$26,0),MATCH($Q42,Stockpile!$C$30:$M$30,0)),
IFERROR(INDEX('Asphalt Silo &amp; Unloading'!$D$10:$M$44,MATCH(J$97,'Asphalt Silo &amp; Unloading'!$B$10:$B$44,0),MATCH($Q42,'Asphalt Silo &amp; Unloading'!$D$49:$M$49,0)),""))))))</f>
        <v/>
      </c>
      <c r="K42" s="590" t="str">
        <f>IFERROR(INDEX('Material Handling'!$C$10:$AH$33,MATCH(K$97,Material_Handling[Data],0),MATCH($Q42,'Material Handling'!$C$40:$AH$40,0)), IFERROR(INDEX('Drop Point'!$B$13:$M$36,MATCH(K$97,'Drop Point'!$B$13:$B$37,0),MATCH($Q42,'Drop Point'!$B$41:$M$41,0)),
IFERROR(INDEX('Control - Grain dscf'!$C$11:$N$27,MATCH(K$97,'Control - Grain dscf'!$B$11:$B$27,0),MATCH($Q42,'Control - Grain dscf'!$C$32:$N$32,0)),
IFERROR(INDEX('Control - Alt'!$C$9:$O$27,MATCH(K$97,'Control - Alt'!$B$9:$B$27,0),MATCH($Q42,'Control - Alt'!$C$32:$O$32,0)),
IFERROR(INDEX(Stockpile!$C$10:$M$26,MATCH(K$97,Stockpile!$B$10:$B$26,0),MATCH($Q42,Stockpile!$C$30:$M$30,0)),
IFERROR(INDEX('Asphalt Silo &amp; Unloading'!$D$10:$M$44,MATCH(K$97,'Asphalt Silo &amp; Unloading'!$B$10:$B$44,0),MATCH($Q42,'Asphalt Silo &amp; Unloading'!$D$49:$M$49,0)),""))))))</f>
        <v/>
      </c>
      <c r="L42" s="590" t="str">
        <f>IFERROR(INDEX('Material Handling'!$C$10:$AH$33,MATCH(L$97,Material_Handling[Data],0),MATCH($Q42,'Material Handling'!$C$40:$AH$40,0)), IFERROR(INDEX('Drop Point'!$B$13:$M$36,MATCH(L$97,'Drop Point'!$B$13:$B$37,0),MATCH($Q42,'Drop Point'!$B$41:$M$41,0)),
IFERROR(INDEX('Control - Grain dscf'!$C$11:$N$27,MATCH(L$97,'Control - Grain dscf'!$B$11:$B$27,0),MATCH($Q42,'Control - Grain dscf'!$C$32:$N$32,0)),
IFERROR(INDEX('Control - Alt'!$C$9:$O$27,MATCH(L$97,'Control - Alt'!$B$9:$B$27,0),MATCH($Q42,'Control - Alt'!$C$32:$O$32,0)),
IFERROR(INDEX(Stockpile!$C$10:$M$26,MATCH(L$97,Stockpile!$B$10:$B$26,0),MATCH($Q42,Stockpile!$C$30:$M$30,0)),
IFERROR(INDEX('Asphalt Silo &amp; Unloading'!$D$10:$M$44,MATCH(L$97,'Asphalt Silo &amp; Unloading'!$B$10:$B$44,0),MATCH($Q42,'Asphalt Silo &amp; Unloading'!$D$49:$M$49,0)),""))))))</f>
        <v/>
      </c>
      <c r="M42" s="590" t="str">
        <f>IFERROR(INDEX('Material Handling'!$C$10:$AH$33,MATCH(M$97,Material_Handling[Data],0),MATCH($Q42,'Material Handling'!$C$40:$AH$40,0)), IFERROR(INDEX('Drop Point'!$B$13:$M$36,MATCH(M$97,'Drop Point'!$B$13:$B$37,0),MATCH($Q42,'Drop Point'!$B$41:$M$41,0)),
IFERROR(INDEX('Control - Grain dscf'!$C$11:$N$27,MATCH(M$97,'Control - Grain dscf'!$B$11:$B$27,0),MATCH($Q42,'Control - Grain dscf'!$C$32:$N$32,0)),
IFERROR(INDEX('Control - Alt'!$C$9:$O$27,MATCH(M$97,'Control - Alt'!$B$9:$B$27,0),MATCH($Q42,'Control - Alt'!$C$32:$O$32,0)),
IFERROR(INDEX(Stockpile!$C$10:$M$26,MATCH(M$97,Stockpile!$B$10:$B$26,0),MATCH($Q42,Stockpile!$C$30:$M$30,0)),
IFERROR(INDEX('Asphalt Silo &amp; Unloading'!$D$10:$M$44,MATCH(M$97,'Asphalt Silo &amp; Unloading'!$B$10:$B$44,0),MATCH($Q42,'Asphalt Silo &amp; Unloading'!$D$49:$M$49,0)),""))))))</f>
        <v/>
      </c>
      <c r="N42" s="590" t="str">
        <f>IFERROR(INDEX('Material Handling'!$C$10:$AH$33,MATCH(N$97,Material_Handling[Data],0),MATCH($Q42,'Material Handling'!$C$40:$AH$40,0)), IFERROR(INDEX('Drop Point'!$B$13:$M$36,MATCH(N$97,'Drop Point'!$B$13:$B$37,0),MATCH($Q42,'Drop Point'!$B$41:$M$41,0)),
IFERROR(INDEX('Control - Grain dscf'!$C$11:$N$27,MATCH(N$97,'Control - Grain dscf'!$B$11:$B$27,0),MATCH($Q42,'Control - Grain dscf'!$C$32:$N$32,0)),
IFERROR(INDEX('Control - Alt'!$C$9:$O$27,MATCH(N$97,'Control - Alt'!$B$9:$B$27,0),MATCH($Q42,'Control - Alt'!$C$32:$O$32,0)),
IFERROR(INDEX(Stockpile!$C$10:$M$26,MATCH(N$97,Stockpile!$B$10:$B$26,0),MATCH($Q42,Stockpile!$C$30:$M$30,0)),
IFERROR(INDEX('Asphalt Silo &amp; Unloading'!$D$10:$M$44,MATCH(N$97,'Asphalt Silo &amp; Unloading'!$B$10:$B$44,0),MATCH($Q42,'Asphalt Silo &amp; Unloading'!$D$49:$M$49,0)),""))))))</f>
        <v/>
      </c>
      <c r="O42" s="591" t="str">
        <f>IFERROR(INDEX('Material Handling'!$C$10:$AH$33,MATCH(O$97,Material_Handling[Data],0),MATCH($Q42,'Material Handling'!$C$40:$AH$40,0)), IFERROR(INDEX('Drop Point'!$B$13:$M$36,MATCH(O$97,'Drop Point'!$B$13:$B$37,0),MATCH($Q42,'Drop Point'!$B$41:$M$41,0)),
IFERROR(INDEX('Control - Grain dscf'!$C$11:$N$27,MATCH(O$97,'Control - Grain dscf'!$B$11:$B$27,0),MATCH($Q42,'Control - Grain dscf'!$C$32:$N$32,0)),
IFERROR(INDEX('Control - Alt'!$C$9:$O$27,MATCH(O$97,'Control - Alt'!$B$9:$B$27,0),MATCH($Q42,'Control - Alt'!$C$32:$O$32,0)),
IFERROR(INDEX(Stockpile!$C$10:$M$26,MATCH(O$97,Stockpile!$B$10:$B$26,0),MATCH($Q42,Stockpile!$C$30:$M$30,0)),
IFERROR(INDEX('Asphalt Silo &amp; Unloading'!$D$10:$M$44,MATCH(O$97,'Asphalt Silo &amp; Unloading'!$B$10:$B$44,0),MATCH($Q42,'Asphalt Silo &amp; Unloading'!$D$49:$M$49,0)),""))))))</f>
        <v/>
      </c>
      <c r="Q42" s="131">
        <f t="shared" ref="Q42:Q73" si="1">Q41+1</f>
        <v>34</v>
      </c>
    </row>
    <row r="43" spans="1:17" ht="20.100000000000001" customHeight="1">
      <c r="A43" s="293" t="str">
        <f>IFERROR(INDEX('Material Handling'!$C$10:$AH$33,MATCH(A$97,Material_Handling[Data],0),MATCH($Q43,'Material Handling'!$C$40:$AH$40,0)), IFERROR(INDEX('Drop Point'!$B$13:$M$36,MATCH(A$97,'Drop Point'!$B$13:$B$37,0),MATCH($Q43,'Drop Point'!$B$41:$M$41,0)),
IFERROR(INDEX('Control - Grain dscf'!$C$11:$N$27,MATCH(A$97,'Control - Grain dscf'!$B$11:$B$27,0),MATCH($Q43,'Control - Grain dscf'!$C$32:$N$32,0)),
IFERROR(INDEX('Control - Alt'!$C$9:$O$27,MATCH(A$97,'Control - Alt'!$B$9:$B$27,0),MATCH($Q43,'Control - Alt'!$C$32:$O$32,0)),
IFERROR(INDEX(Stockpile!$C$10:$M$26,MATCH(A$97,Stockpile!$B$10:$B$26,0),MATCH($Q43,Stockpile!$C$30:$M$30,0)),
IFERROR(INDEX('Asphalt Silo &amp; Unloading'!$D$10:$M$44,MATCH(A$97,'Asphalt Silo &amp; Unloading'!$B$10:$B$44,0),MATCH($Q43,'Asphalt Silo &amp; Unloading'!$D$49:$M$49,0)),""))))))</f>
        <v/>
      </c>
      <c r="B43" s="135" t="str">
        <f>IFERROR(INDEX('Material Handling'!$C$10:$AH$33,MATCH(B$97,Material_Handling[Data],0),MATCH($Q43,'Material Handling'!$C$40:$AH$40,0)), IFERROR(INDEX('Drop Point'!$B$13:$M$36,MATCH(B$97,'Drop Point'!$B$13:$B$37,0),MATCH($Q43,'Drop Point'!$B$41:$M$41,0)),
IFERROR(INDEX('Control - Grain dscf'!$C$11:$N$27,MATCH(B$97,'Control - Grain dscf'!$B$11:$B$27,0),MATCH($Q43,'Control - Grain dscf'!$C$32:$N$32,0)),
IFERROR(INDEX('Control - Alt'!$C$9:$O$27,MATCH(B$97,'Control - Alt'!$B$9:$B$27,0),MATCH($Q43,'Control - Alt'!$C$32:$O$32,0)),
IFERROR(INDEX(Stockpile!$C$10:$M$26,MATCH(B$97,Stockpile!$B$10:$B$26,0),MATCH($Q43,Stockpile!$C$30:$M$30,0)),
IFERROR(INDEX('Asphalt Silo &amp; Unloading'!$D$10:$M$44,MATCH(B$97,'Asphalt Silo &amp; Unloading'!$B$10:$B$44,0),MATCH($Q43,'Asphalt Silo &amp; Unloading'!$D$49:$M$49,0)),""))))))</f>
        <v/>
      </c>
      <c r="C43" s="135" t="str">
        <f>IFERROR(INDEX('Material Handling'!$C$10:$AH$33,MATCH(C$97,Material_Handling[Data],0),MATCH($Q43,'Material Handling'!$C$40:$AH$40,0)), IFERROR(INDEX('Drop Point'!$B$13:$M$36,MATCH(C$97,'Drop Point'!$B$13:$B$37,0),MATCH($Q43,'Drop Point'!$B$41:$M$41,0)),
IFERROR(INDEX('Control - Grain dscf'!$C$11:$N$27,MATCH(C$97,'Control - Grain dscf'!$B$11:$B$27,0),MATCH($Q43,'Control - Grain dscf'!$C$32:$N$32,0)),
IFERROR(INDEX('Control - Alt'!$C$9:$O$27,MATCH(C$97,'Control - Alt'!$B$9:$B$27,0),MATCH($Q43,'Control - Alt'!$C$32:$O$32,0)),
IFERROR(INDEX(Stockpile!$C$10:$M$26,MATCH(C$97,Stockpile!$B$10:$B$26,0),MATCH($Q43,Stockpile!$C$30:$M$30,0)),
IFERROR(INDEX('Asphalt Silo &amp; Unloading'!$D$10:$M$44,MATCH(C$97,'Asphalt Silo &amp; Unloading'!$B$10:$B$44,0),MATCH($Q43,'Asphalt Silo &amp; Unloading'!$D$49:$M$49,0)),""))))))</f>
        <v/>
      </c>
      <c r="D43" s="135" t="str">
        <f>IFERROR(INDEX('Material Handling'!$C$10:$AH$33,MATCH(D$97,Material_Handling[Data],0),MATCH($Q43,'Material Handling'!$C$40:$AH$40,0)), IFERROR(INDEX('Drop Point'!$B$13:$M$36,MATCH(D$97,'Drop Point'!$B$13:$B$37,0),MATCH($Q43,'Drop Point'!$B$41:$M$41,0)),
IFERROR(INDEX('Control - Grain dscf'!$C$11:$N$27,MATCH(D$97,'Control - Grain dscf'!$B$11:$B$27,0),MATCH($Q43,'Control - Grain dscf'!$C$32:$N$32,0)),
IFERROR(INDEX('Control - Alt'!$C$9:$O$27,MATCH(D$97,'Control - Alt'!$B$9:$B$27,0),MATCH($Q43,'Control - Alt'!$C$32:$O$32,0)),
IFERROR(INDEX(Stockpile!$C$10:$M$26,MATCH(D$97,Stockpile!$B$10:$B$26,0),MATCH($Q43,Stockpile!$C$30:$M$30,0)),
IFERROR(INDEX('Asphalt Silo &amp; Unloading'!$D$10:$M$44,MATCH(D$97,'Asphalt Silo &amp; Unloading'!$B$10:$B$44,0),MATCH($Q43,'Asphalt Silo &amp; Unloading'!$D$49:$M$49,0)),""))))))</f>
        <v/>
      </c>
      <c r="E43" s="620" t="str">
        <f>IFERROR(INDEX('Material Handling'!$C$10:$AH$33,MATCH(E$97,Material_Handling[Data],0),MATCH($Q43,'Material Handling'!$C$40:$AH$40,0)), IFERROR(INDEX('Drop Point'!$B$13:$M$36,MATCH(E$97,'Drop Point'!$B$13:$B$37,0),MATCH($Q43,'Drop Point'!$B$41:$M$41,0)),
IFERROR(INDEX('Control - Grain dscf'!$C$11:$N$27,MATCH(E$97,'Control - Grain dscf'!$B$11:$B$27,0),MATCH($Q43,'Control - Grain dscf'!$C$32:$N$32,0)),
IFERROR(INDEX('Control - Alt'!$C$9:$O$27,MATCH(E$97,'Control - Alt'!$B$9:$B$27,0),MATCH($Q43,'Control - Alt'!$C$32:$O$32,0)),
IFERROR(INDEX(Stockpile!$C$10:$M$26,MATCH(E$97,Stockpile!$B$10:$B$26,0),MATCH($Q43,Stockpile!$C$30:$M$30,0)),
IFERROR(INDEX('Asphalt Silo &amp; Unloading'!$D$10:$M$44,MATCH(E$97,'Asphalt Silo &amp; Unloading'!$B$10:$B$44,0),MATCH($Q43,'Asphalt Silo &amp; Unloading'!$D$49:$M$49,0)),""))))))</f>
        <v/>
      </c>
      <c r="F43" s="590" t="str">
        <f>IFERROR(INDEX('Material Handling'!$C$10:$AH$33,MATCH(F$97,Material_Handling[Data],0),MATCH($Q43,'Material Handling'!$C$40:$AH$40,0)), IFERROR(INDEX('Drop Point'!$B$13:$M$36,MATCH(F$97,'Drop Point'!$B$13:$B$37,0),MATCH($Q43,'Drop Point'!$B$41:$M$41,0)),
IFERROR(INDEX('Control - Grain dscf'!$C$11:$N$27,MATCH(F$97,'Control - Grain dscf'!$B$11:$B$27,0),MATCH($Q43,'Control - Grain dscf'!$C$32:$N$32,0)),
IFERROR(INDEX('Control - Alt'!$C$9:$O$27,MATCH(F$97,'Control - Alt'!$B$9:$B$27,0),MATCH($Q43,'Control - Alt'!$C$32:$O$32,0)),
IFERROR(INDEX(Stockpile!$C$10:$M$26,MATCH(F$97,Stockpile!$B$10:$B$26,0),MATCH($Q43,Stockpile!$C$30:$M$30,0)),
IFERROR(INDEX('Asphalt Silo &amp; Unloading'!$D$10:$M$44,MATCH(F$97,'Asphalt Silo &amp; Unloading'!$B$10:$B$44,0),MATCH($Q43,'Asphalt Silo &amp; Unloading'!$D$49:$M$49,0)),""))))))</f>
        <v/>
      </c>
      <c r="G43" s="590" t="str">
        <f>IFERROR(INDEX('Material Handling'!$C$10:$AH$33,MATCH(G$97,Material_Handling[Data],0),MATCH($Q43,'Material Handling'!$C$40:$AH$40,0)), IFERROR(INDEX('Drop Point'!$B$13:$M$36,MATCH(G$97,'Drop Point'!$B$13:$B$37,0),MATCH($Q43,'Drop Point'!$B$41:$M$41,0)),
IFERROR(INDEX('Control - Grain dscf'!$C$11:$N$27,MATCH(G$97,'Control - Grain dscf'!$B$11:$B$27,0),MATCH($Q43,'Control - Grain dscf'!$C$32:$N$32,0)),
IFERROR(INDEX('Control - Alt'!$C$9:$O$27,MATCH(G$97,'Control - Alt'!$B$9:$B$27,0),MATCH($Q43,'Control - Alt'!$C$32:$O$32,0)),
IFERROR(INDEX(Stockpile!$C$10:$M$26,MATCH(G$97,Stockpile!$B$10:$B$26,0),MATCH($Q43,Stockpile!$C$30:$M$30,0)),
IFERROR(INDEX('Asphalt Silo &amp; Unloading'!$D$10:$M$44,MATCH(G$97,'Asphalt Silo &amp; Unloading'!$B$10:$B$44,0),MATCH($Q43,'Asphalt Silo &amp; Unloading'!$D$49:$M$49,0)),""))))))</f>
        <v/>
      </c>
      <c r="H43" s="590" t="str">
        <f>IFERROR(INDEX('Material Handling'!$C$10:$AH$33,MATCH(H$97,Material_Handling[Data],0),MATCH($Q43,'Material Handling'!$C$40:$AH$40,0)), IFERROR(INDEX('Drop Point'!$B$13:$M$36,MATCH(H$97,'Drop Point'!$B$13:$B$37,0),MATCH($Q43,'Drop Point'!$B$41:$M$41,0)),
IFERROR(INDEX('Control - Grain dscf'!$C$11:$N$27,MATCH(H$97,'Control - Grain dscf'!$B$11:$B$27,0),MATCH($Q43,'Control - Grain dscf'!$C$32:$N$32,0)),
IFERROR(INDEX('Control - Alt'!$C$9:$O$27,MATCH(H$97,'Control - Alt'!$B$9:$B$27,0),MATCH($Q43,'Control - Alt'!$C$32:$O$32,0)),
IFERROR(INDEX(Stockpile!$C$10:$M$26,MATCH(H$97,Stockpile!$B$10:$B$26,0),MATCH($Q43,Stockpile!$C$30:$M$30,0)),
IFERROR(INDEX('Asphalt Silo &amp; Unloading'!$D$10:$M$44,MATCH(H$97,'Asphalt Silo &amp; Unloading'!$B$10:$B$44,0),MATCH($Q43,'Asphalt Silo &amp; Unloading'!$D$49:$M$49,0)),""))))))</f>
        <v/>
      </c>
      <c r="I43" s="590" t="str">
        <f>IFERROR(INDEX('Material Handling'!$C$10:$AH$33,MATCH(I$97,Material_Handling[Data],0),MATCH($Q43,'Material Handling'!$C$40:$AH$40,0)), IFERROR(INDEX('Drop Point'!$B$13:$M$36,MATCH(I$97,'Drop Point'!$B$13:$B$37,0),MATCH($Q43,'Drop Point'!$B$41:$M$41,0)),
IFERROR(INDEX('Control - Grain dscf'!$C$11:$N$27,MATCH(I$97,'Control - Grain dscf'!$B$11:$B$27,0),MATCH($Q43,'Control - Grain dscf'!$C$32:$N$32,0)),
IFERROR(INDEX('Control - Alt'!$C$9:$O$27,MATCH(I$97,'Control - Alt'!$B$9:$B$27,0),MATCH($Q43,'Control - Alt'!$C$32:$O$32,0)),
IFERROR(INDEX(Stockpile!$C$10:$M$26,MATCH(I$97,Stockpile!$B$10:$B$26,0),MATCH($Q43,Stockpile!$C$30:$M$30,0)),
IFERROR(INDEX('Asphalt Silo &amp; Unloading'!$D$10:$M$44,MATCH(I$97,'Asphalt Silo &amp; Unloading'!$B$10:$B$44,0),MATCH($Q43,'Asphalt Silo &amp; Unloading'!$D$49:$M$49,0)),""))))))</f>
        <v/>
      </c>
      <c r="J43" s="590" t="str">
        <f>IFERROR(INDEX('Material Handling'!$C$10:$AH$33,MATCH(J$97,Material_Handling[Data],0),MATCH($Q43,'Material Handling'!$C$40:$AH$40,0)), IFERROR(INDEX('Drop Point'!$B$13:$M$36,MATCH(J$97,'Drop Point'!$B$13:$B$37,0),MATCH($Q43,'Drop Point'!$B$41:$M$41,0)),
IFERROR(INDEX('Control - Grain dscf'!$C$11:$N$27,MATCH(J$97,'Control - Grain dscf'!$B$11:$B$27,0),MATCH($Q43,'Control - Grain dscf'!$C$32:$N$32,0)),
IFERROR(INDEX('Control - Alt'!$C$9:$O$27,MATCH(J$97,'Control - Alt'!$B$9:$B$27,0),MATCH($Q43,'Control - Alt'!$C$32:$O$32,0)),
IFERROR(INDEX(Stockpile!$C$10:$M$26,MATCH(J$97,Stockpile!$B$10:$B$26,0),MATCH($Q43,Stockpile!$C$30:$M$30,0)),
IFERROR(INDEX('Asphalt Silo &amp; Unloading'!$D$10:$M$44,MATCH(J$97,'Asphalt Silo &amp; Unloading'!$B$10:$B$44,0),MATCH($Q43,'Asphalt Silo &amp; Unloading'!$D$49:$M$49,0)),""))))))</f>
        <v/>
      </c>
      <c r="K43" s="590" t="str">
        <f>IFERROR(INDEX('Material Handling'!$C$10:$AH$33,MATCH(K$97,Material_Handling[Data],0),MATCH($Q43,'Material Handling'!$C$40:$AH$40,0)), IFERROR(INDEX('Drop Point'!$B$13:$M$36,MATCH(K$97,'Drop Point'!$B$13:$B$37,0),MATCH($Q43,'Drop Point'!$B$41:$M$41,0)),
IFERROR(INDEX('Control - Grain dscf'!$C$11:$N$27,MATCH(K$97,'Control - Grain dscf'!$B$11:$B$27,0),MATCH($Q43,'Control - Grain dscf'!$C$32:$N$32,0)),
IFERROR(INDEX('Control - Alt'!$C$9:$O$27,MATCH(K$97,'Control - Alt'!$B$9:$B$27,0),MATCH($Q43,'Control - Alt'!$C$32:$O$32,0)),
IFERROR(INDEX(Stockpile!$C$10:$M$26,MATCH(K$97,Stockpile!$B$10:$B$26,0),MATCH($Q43,Stockpile!$C$30:$M$30,0)),
IFERROR(INDEX('Asphalt Silo &amp; Unloading'!$D$10:$M$44,MATCH(K$97,'Asphalt Silo &amp; Unloading'!$B$10:$B$44,0),MATCH($Q43,'Asphalt Silo &amp; Unloading'!$D$49:$M$49,0)),""))))))</f>
        <v/>
      </c>
      <c r="L43" s="590" t="str">
        <f>IFERROR(INDEX('Material Handling'!$C$10:$AH$33,MATCH(L$97,Material_Handling[Data],0),MATCH($Q43,'Material Handling'!$C$40:$AH$40,0)), IFERROR(INDEX('Drop Point'!$B$13:$M$36,MATCH(L$97,'Drop Point'!$B$13:$B$37,0),MATCH($Q43,'Drop Point'!$B$41:$M$41,0)),
IFERROR(INDEX('Control - Grain dscf'!$C$11:$N$27,MATCH(L$97,'Control - Grain dscf'!$B$11:$B$27,0),MATCH($Q43,'Control - Grain dscf'!$C$32:$N$32,0)),
IFERROR(INDEX('Control - Alt'!$C$9:$O$27,MATCH(L$97,'Control - Alt'!$B$9:$B$27,0),MATCH($Q43,'Control - Alt'!$C$32:$O$32,0)),
IFERROR(INDEX(Stockpile!$C$10:$M$26,MATCH(L$97,Stockpile!$B$10:$B$26,0),MATCH($Q43,Stockpile!$C$30:$M$30,0)),
IFERROR(INDEX('Asphalt Silo &amp; Unloading'!$D$10:$M$44,MATCH(L$97,'Asphalt Silo &amp; Unloading'!$B$10:$B$44,0),MATCH($Q43,'Asphalt Silo &amp; Unloading'!$D$49:$M$49,0)),""))))))</f>
        <v/>
      </c>
      <c r="M43" s="590" t="str">
        <f>IFERROR(INDEX('Material Handling'!$C$10:$AH$33,MATCH(M$97,Material_Handling[Data],0),MATCH($Q43,'Material Handling'!$C$40:$AH$40,0)), IFERROR(INDEX('Drop Point'!$B$13:$M$36,MATCH(M$97,'Drop Point'!$B$13:$B$37,0),MATCH($Q43,'Drop Point'!$B$41:$M$41,0)),
IFERROR(INDEX('Control - Grain dscf'!$C$11:$N$27,MATCH(M$97,'Control - Grain dscf'!$B$11:$B$27,0),MATCH($Q43,'Control - Grain dscf'!$C$32:$N$32,0)),
IFERROR(INDEX('Control - Alt'!$C$9:$O$27,MATCH(M$97,'Control - Alt'!$B$9:$B$27,0),MATCH($Q43,'Control - Alt'!$C$32:$O$32,0)),
IFERROR(INDEX(Stockpile!$C$10:$M$26,MATCH(M$97,Stockpile!$B$10:$B$26,0),MATCH($Q43,Stockpile!$C$30:$M$30,0)),
IFERROR(INDEX('Asphalt Silo &amp; Unloading'!$D$10:$M$44,MATCH(M$97,'Asphalt Silo &amp; Unloading'!$B$10:$B$44,0),MATCH($Q43,'Asphalt Silo &amp; Unloading'!$D$49:$M$49,0)),""))))))</f>
        <v/>
      </c>
      <c r="N43" s="590" t="str">
        <f>IFERROR(INDEX('Material Handling'!$C$10:$AH$33,MATCH(N$97,Material_Handling[Data],0),MATCH($Q43,'Material Handling'!$C$40:$AH$40,0)), IFERROR(INDEX('Drop Point'!$B$13:$M$36,MATCH(N$97,'Drop Point'!$B$13:$B$37,0),MATCH($Q43,'Drop Point'!$B$41:$M$41,0)),
IFERROR(INDEX('Control - Grain dscf'!$C$11:$N$27,MATCH(N$97,'Control - Grain dscf'!$B$11:$B$27,0),MATCH($Q43,'Control - Grain dscf'!$C$32:$N$32,0)),
IFERROR(INDEX('Control - Alt'!$C$9:$O$27,MATCH(N$97,'Control - Alt'!$B$9:$B$27,0),MATCH($Q43,'Control - Alt'!$C$32:$O$32,0)),
IFERROR(INDEX(Stockpile!$C$10:$M$26,MATCH(N$97,Stockpile!$B$10:$B$26,0),MATCH($Q43,Stockpile!$C$30:$M$30,0)),
IFERROR(INDEX('Asphalt Silo &amp; Unloading'!$D$10:$M$44,MATCH(N$97,'Asphalt Silo &amp; Unloading'!$B$10:$B$44,0),MATCH($Q43,'Asphalt Silo &amp; Unloading'!$D$49:$M$49,0)),""))))))</f>
        <v/>
      </c>
      <c r="O43" s="591" t="str">
        <f>IFERROR(INDEX('Material Handling'!$C$10:$AH$33,MATCH(O$97,Material_Handling[Data],0),MATCH($Q43,'Material Handling'!$C$40:$AH$40,0)), IFERROR(INDEX('Drop Point'!$B$13:$M$36,MATCH(O$97,'Drop Point'!$B$13:$B$37,0),MATCH($Q43,'Drop Point'!$B$41:$M$41,0)),
IFERROR(INDEX('Control - Grain dscf'!$C$11:$N$27,MATCH(O$97,'Control - Grain dscf'!$B$11:$B$27,0),MATCH($Q43,'Control - Grain dscf'!$C$32:$N$32,0)),
IFERROR(INDEX('Control - Alt'!$C$9:$O$27,MATCH(O$97,'Control - Alt'!$B$9:$B$27,0),MATCH($Q43,'Control - Alt'!$C$32:$O$32,0)),
IFERROR(INDEX(Stockpile!$C$10:$M$26,MATCH(O$97,Stockpile!$B$10:$B$26,0),MATCH($Q43,Stockpile!$C$30:$M$30,0)),
IFERROR(INDEX('Asphalt Silo &amp; Unloading'!$D$10:$M$44,MATCH(O$97,'Asphalt Silo &amp; Unloading'!$B$10:$B$44,0),MATCH($Q43,'Asphalt Silo &amp; Unloading'!$D$49:$M$49,0)),""))))))</f>
        <v/>
      </c>
      <c r="Q43" s="131">
        <f t="shared" si="1"/>
        <v>35</v>
      </c>
    </row>
    <row r="44" spans="1:17" ht="20.100000000000001" customHeight="1">
      <c r="A44" s="293" t="str">
        <f>IFERROR(INDEX('Material Handling'!$C$10:$AH$33,MATCH(A$97,Material_Handling[Data],0),MATCH($Q44,'Material Handling'!$C$40:$AH$40,0)), IFERROR(INDEX('Drop Point'!$B$13:$M$36,MATCH(A$97,'Drop Point'!$B$13:$B$37,0),MATCH($Q44,'Drop Point'!$B$41:$M$41,0)),
IFERROR(INDEX('Control - Grain dscf'!$C$11:$N$27,MATCH(A$97,'Control - Grain dscf'!$B$11:$B$27,0),MATCH($Q44,'Control - Grain dscf'!$C$32:$N$32,0)),
IFERROR(INDEX('Control - Alt'!$C$9:$O$27,MATCH(A$97,'Control - Alt'!$B$9:$B$27,0),MATCH($Q44,'Control - Alt'!$C$32:$O$32,0)),
IFERROR(INDEX(Stockpile!$C$10:$M$26,MATCH(A$97,Stockpile!$B$10:$B$26,0),MATCH($Q44,Stockpile!$C$30:$M$30,0)),
IFERROR(INDEX('Asphalt Silo &amp; Unloading'!$D$10:$M$44,MATCH(A$97,'Asphalt Silo &amp; Unloading'!$B$10:$B$44,0),MATCH($Q44,'Asphalt Silo &amp; Unloading'!$D$49:$M$49,0)),""))))))</f>
        <v/>
      </c>
      <c r="B44" s="135" t="str">
        <f>IFERROR(INDEX('Material Handling'!$C$10:$AH$33,MATCH(B$97,Material_Handling[Data],0),MATCH($Q44,'Material Handling'!$C$40:$AH$40,0)), IFERROR(INDEX('Drop Point'!$B$13:$M$36,MATCH(B$97,'Drop Point'!$B$13:$B$37,0),MATCH($Q44,'Drop Point'!$B$41:$M$41,0)),
IFERROR(INDEX('Control - Grain dscf'!$C$11:$N$27,MATCH(B$97,'Control - Grain dscf'!$B$11:$B$27,0),MATCH($Q44,'Control - Grain dscf'!$C$32:$N$32,0)),
IFERROR(INDEX('Control - Alt'!$C$9:$O$27,MATCH(B$97,'Control - Alt'!$B$9:$B$27,0),MATCH($Q44,'Control - Alt'!$C$32:$O$32,0)),
IFERROR(INDEX(Stockpile!$C$10:$M$26,MATCH(B$97,Stockpile!$B$10:$B$26,0),MATCH($Q44,Stockpile!$C$30:$M$30,0)),
IFERROR(INDEX('Asphalt Silo &amp; Unloading'!$D$10:$M$44,MATCH(B$97,'Asphalt Silo &amp; Unloading'!$B$10:$B$44,0),MATCH($Q44,'Asphalt Silo &amp; Unloading'!$D$49:$M$49,0)),""))))))</f>
        <v/>
      </c>
      <c r="C44" s="135" t="str">
        <f>IFERROR(INDEX('Material Handling'!$C$10:$AH$33,MATCH(C$97,Material_Handling[Data],0),MATCH($Q44,'Material Handling'!$C$40:$AH$40,0)), IFERROR(INDEX('Drop Point'!$B$13:$M$36,MATCH(C$97,'Drop Point'!$B$13:$B$37,0),MATCH($Q44,'Drop Point'!$B$41:$M$41,0)),
IFERROR(INDEX('Control - Grain dscf'!$C$11:$N$27,MATCH(C$97,'Control - Grain dscf'!$B$11:$B$27,0),MATCH($Q44,'Control - Grain dscf'!$C$32:$N$32,0)),
IFERROR(INDEX('Control - Alt'!$C$9:$O$27,MATCH(C$97,'Control - Alt'!$B$9:$B$27,0),MATCH($Q44,'Control - Alt'!$C$32:$O$32,0)),
IFERROR(INDEX(Stockpile!$C$10:$M$26,MATCH(C$97,Stockpile!$B$10:$B$26,0),MATCH($Q44,Stockpile!$C$30:$M$30,0)),
IFERROR(INDEX('Asphalt Silo &amp; Unloading'!$D$10:$M$44,MATCH(C$97,'Asphalt Silo &amp; Unloading'!$B$10:$B$44,0),MATCH($Q44,'Asphalt Silo &amp; Unloading'!$D$49:$M$49,0)),""))))))</f>
        <v/>
      </c>
      <c r="D44" s="135" t="str">
        <f>IFERROR(INDEX('Material Handling'!$C$10:$AH$33,MATCH(D$97,Material_Handling[Data],0),MATCH($Q44,'Material Handling'!$C$40:$AH$40,0)), IFERROR(INDEX('Drop Point'!$B$13:$M$36,MATCH(D$97,'Drop Point'!$B$13:$B$37,0),MATCH($Q44,'Drop Point'!$B$41:$M$41,0)),
IFERROR(INDEX('Control - Grain dscf'!$C$11:$N$27,MATCH(D$97,'Control - Grain dscf'!$B$11:$B$27,0),MATCH($Q44,'Control - Grain dscf'!$C$32:$N$32,0)),
IFERROR(INDEX('Control - Alt'!$C$9:$O$27,MATCH(D$97,'Control - Alt'!$B$9:$B$27,0),MATCH($Q44,'Control - Alt'!$C$32:$O$32,0)),
IFERROR(INDEX(Stockpile!$C$10:$M$26,MATCH(D$97,Stockpile!$B$10:$B$26,0),MATCH($Q44,Stockpile!$C$30:$M$30,0)),
IFERROR(INDEX('Asphalt Silo &amp; Unloading'!$D$10:$M$44,MATCH(D$97,'Asphalt Silo &amp; Unloading'!$B$10:$B$44,0),MATCH($Q44,'Asphalt Silo &amp; Unloading'!$D$49:$M$49,0)),""))))))</f>
        <v/>
      </c>
      <c r="E44" s="620" t="str">
        <f>IFERROR(INDEX('Material Handling'!$C$10:$AH$33,MATCH(E$97,Material_Handling[Data],0),MATCH($Q44,'Material Handling'!$C$40:$AH$40,0)), IFERROR(INDEX('Drop Point'!$B$13:$M$36,MATCH(E$97,'Drop Point'!$B$13:$B$37,0),MATCH($Q44,'Drop Point'!$B$41:$M$41,0)),
IFERROR(INDEX('Control - Grain dscf'!$C$11:$N$27,MATCH(E$97,'Control - Grain dscf'!$B$11:$B$27,0),MATCH($Q44,'Control - Grain dscf'!$C$32:$N$32,0)),
IFERROR(INDEX('Control - Alt'!$C$9:$O$27,MATCH(E$97,'Control - Alt'!$B$9:$B$27,0),MATCH($Q44,'Control - Alt'!$C$32:$O$32,0)),
IFERROR(INDEX(Stockpile!$C$10:$M$26,MATCH(E$97,Stockpile!$B$10:$B$26,0),MATCH($Q44,Stockpile!$C$30:$M$30,0)),
IFERROR(INDEX('Asphalt Silo &amp; Unloading'!$D$10:$M$44,MATCH(E$97,'Asphalt Silo &amp; Unloading'!$B$10:$B$44,0),MATCH($Q44,'Asphalt Silo &amp; Unloading'!$D$49:$M$49,0)),""))))))</f>
        <v/>
      </c>
      <c r="F44" s="590" t="str">
        <f>IFERROR(INDEX('Material Handling'!$C$10:$AH$33,MATCH(F$97,Material_Handling[Data],0),MATCH($Q44,'Material Handling'!$C$40:$AH$40,0)), IFERROR(INDEX('Drop Point'!$B$13:$M$36,MATCH(F$97,'Drop Point'!$B$13:$B$37,0),MATCH($Q44,'Drop Point'!$B$41:$M$41,0)),
IFERROR(INDEX('Control - Grain dscf'!$C$11:$N$27,MATCH(F$97,'Control - Grain dscf'!$B$11:$B$27,0),MATCH($Q44,'Control - Grain dscf'!$C$32:$N$32,0)),
IFERROR(INDEX('Control - Alt'!$C$9:$O$27,MATCH(F$97,'Control - Alt'!$B$9:$B$27,0),MATCH($Q44,'Control - Alt'!$C$32:$O$32,0)),
IFERROR(INDEX(Stockpile!$C$10:$M$26,MATCH(F$97,Stockpile!$B$10:$B$26,0),MATCH($Q44,Stockpile!$C$30:$M$30,0)),
IFERROR(INDEX('Asphalt Silo &amp; Unloading'!$D$10:$M$44,MATCH(F$97,'Asphalt Silo &amp; Unloading'!$B$10:$B$44,0),MATCH($Q44,'Asphalt Silo &amp; Unloading'!$D$49:$M$49,0)),""))))))</f>
        <v/>
      </c>
      <c r="G44" s="590" t="str">
        <f>IFERROR(INDEX('Material Handling'!$C$10:$AH$33,MATCH(G$97,Material_Handling[Data],0),MATCH($Q44,'Material Handling'!$C$40:$AH$40,0)), IFERROR(INDEX('Drop Point'!$B$13:$M$36,MATCH(G$97,'Drop Point'!$B$13:$B$37,0),MATCH($Q44,'Drop Point'!$B$41:$M$41,0)),
IFERROR(INDEX('Control - Grain dscf'!$C$11:$N$27,MATCH(G$97,'Control - Grain dscf'!$B$11:$B$27,0),MATCH($Q44,'Control - Grain dscf'!$C$32:$N$32,0)),
IFERROR(INDEX('Control - Alt'!$C$9:$O$27,MATCH(G$97,'Control - Alt'!$B$9:$B$27,0),MATCH($Q44,'Control - Alt'!$C$32:$O$32,0)),
IFERROR(INDEX(Stockpile!$C$10:$M$26,MATCH(G$97,Stockpile!$B$10:$B$26,0),MATCH($Q44,Stockpile!$C$30:$M$30,0)),
IFERROR(INDEX('Asphalt Silo &amp; Unloading'!$D$10:$M$44,MATCH(G$97,'Asphalt Silo &amp; Unloading'!$B$10:$B$44,0),MATCH($Q44,'Asphalt Silo &amp; Unloading'!$D$49:$M$49,0)),""))))))</f>
        <v/>
      </c>
      <c r="H44" s="590" t="str">
        <f>IFERROR(INDEX('Material Handling'!$C$10:$AH$33,MATCH(H$97,Material_Handling[Data],0),MATCH($Q44,'Material Handling'!$C$40:$AH$40,0)), IFERROR(INDEX('Drop Point'!$B$13:$M$36,MATCH(H$97,'Drop Point'!$B$13:$B$37,0),MATCH($Q44,'Drop Point'!$B$41:$M$41,0)),
IFERROR(INDEX('Control - Grain dscf'!$C$11:$N$27,MATCH(H$97,'Control - Grain dscf'!$B$11:$B$27,0),MATCH($Q44,'Control - Grain dscf'!$C$32:$N$32,0)),
IFERROR(INDEX('Control - Alt'!$C$9:$O$27,MATCH(H$97,'Control - Alt'!$B$9:$B$27,0),MATCH($Q44,'Control - Alt'!$C$32:$O$32,0)),
IFERROR(INDEX(Stockpile!$C$10:$M$26,MATCH(H$97,Stockpile!$B$10:$B$26,0),MATCH($Q44,Stockpile!$C$30:$M$30,0)),
IFERROR(INDEX('Asphalt Silo &amp; Unloading'!$D$10:$M$44,MATCH(H$97,'Asphalt Silo &amp; Unloading'!$B$10:$B$44,0),MATCH($Q44,'Asphalt Silo &amp; Unloading'!$D$49:$M$49,0)),""))))))</f>
        <v/>
      </c>
      <c r="I44" s="590" t="str">
        <f>IFERROR(INDEX('Material Handling'!$C$10:$AH$33,MATCH(I$97,Material_Handling[Data],0),MATCH($Q44,'Material Handling'!$C$40:$AH$40,0)), IFERROR(INDEX('Drop Point'!$B$13:$M$36,MATCH(I$97,'Drop Point'!$B$13:$B$37,0),MATCH($Q44,'Drop Point'!$B$41:$M$41,0)),
IFERROR(INDEX('Control - Grain dscf'!$C$11:$N$27,MATCH(I$97,'Control - Grain dscf'!$B$11:$B$27,0),MATCH($Q44,'Control - Grain dscf'!$C$32:$N$32,0)),
IFERROR(INDEX('Control - Alt'!$C$9:$O$27,MATCH(I$97,'Control - Alt'!$B$9:$B$27,0),MATCH($Q44,'Control - Alt'!$C$32:$O$32,0)),
IFERROR(INDEX(Stockpile!$C$10:$M$26,MATCH(I$97,Stockpile!$B$10:$B$26,0),MATCH($Q44,Stockpile!$C$30:$M$30,0)),
IFERROR(INDEX('Asphalt Silo &amp; Unloading'!$D$10:$M$44,MATCH(I$97,'Asphalt Silo &amp; Unloading'!$B$10:$B$44,0),MATCH($Q44,'Asphalt Silo &amp; Unloading'!$D$49:$M$49,0)),""))))))</f>
        <v/>
      </c>
      <c r="J44" s="590" t="str">
        <f>IFERROR(INDEX('Material Handling'!$C$10:$AH$33,MATCH(J$97,Material_Handling[Data],0),MATCH($Q44,'Material Handling'!$C$40:$AH$40,0)), IFERROR(INDEX('Drop Point'!$B$13:$M$36,MATCH(J$97,'Drop Point'!$B$13:$B$37,0),MATCH($Q44,'Drop Point'!$B$41:$M$41,0)),
IFERROR(INDEX('Control - Grain dscf'!$C$11:$N$27,MATCH(J$97,'Control - Grain dscf'!$B$11:$B$27,0),MATCH($Q44,'Control - Grain dscf'!$C$32:$N$32,0)),
IFERROR(INDEX('Control - Alt'!$C$9:$O$27,MATCH(J$97,'Control - Alt'!$B$9:$B$27,0),MATCH($Q44,'Control - Alt'!$C$32:$O$32,0)),
IFERROR(INDEX(Stockpile!$C$10:$M$26,MATCH(J$97,Stockpile!$B$10:$B$26,0),MATCH($Q44,Stockpile!$C$30:$M$30,0)),
IFERROR(INDEX('Asphalt Silo &amp; Unloading'!$D$10:$M$44,MATCH(J$97,'Asphalt Silo &amp; Unloading'!$B$10:$B$44,0),MATCH($Q44,'Asphalt Silo &amp; Unloading'!$D$49:$M$49,0)),""))))))</f>
        <v/>
      </c>
      <c r="K44" s="590" t="str">
        <f>IFERROR(INDEX('Material Handling'!$C$10:$AH$33,MATCH(K$97,Material_Handling[Data],0),MATCH($Q44,'Material Handling'!$C$40:$AH$40,0)), IFERROR(INDEX('Drop Point'!$B$13:$M$36,MATCH(K$97,'Drop Point'!$B$13:$B$37,0),MATCH($Q44,'Drop Point'!$B$41:$M$41,0)),
IFERROR(INDEX('Control - Grain dscf'!$C$11:$N$27,MATCH(K$97,'Control - Grain dscf'!$B$11:$B$27,0),MATCH($Q44,'Control - Grain dscf'!$C$32:$N$32,0)),
IFERROR(INDEX('Control - Alt'!$C$9:$O$27,MATCH(K$97,'Control - Alt'!$B$9:$B$27,0),MATCH($Q44,'Control - Alt'!$C$32:$O$32,0)),
IFERROR(INDEX(Stockpile!$C$10:$M$26,MATCH(K$97,Stockpile!$B$10:$B$26,0),MATCH($Q44,Stockpile!$C$30:$M$30,0)),
IFERROR(INDEX('Asphalt Silo &amp; Unloading'!$D$10:$M$44,MATCH(K$97,'Asphalt Silo &amp; Unloading'!$B$10:$B$44,0),MATCH($Q44,'Asphalt Silo &amp; Unloading'!$D$49:$M$49,0)),""))))))</f>
        <v/>
      </c>
      <c r="L44" s="590" t="str">
        <f>IFERROR(INDEX('Material Handling'!$C$10:$AH$33,MATCH(L$97,Material_Handling[Data],0),MATCH($Q44,'Material Handling'!$C$40:$AH$40,0)), IFERROR(INDEX('Drop Point'!$B$13:$M$36,MATCH(L$97,'Drop Point'!$B$13:$B$37,0),MATCH($Q44,'Drop Point'!$B$41:$M$41,0)),
IFERROR(INDEX('Control - Grain dscf'!$C$11:$N$27,MATCH(L$97,'Control - Grain dscf'!$B$11:$B$27,0),MATCH($Q44,'Control - Grain dscf'!$C$32:$N$32,0)),
IFERROR(INDEX('Control - Alt'!$C$9:$O$27,MATCH(L$97,'Control - Alt'!$B$9:$B$27,0),MATCH($Q44,'Control - Alt'!$C$32:$O$32,0)),
IFERROR(INDEX(Stockpile!$C$10:$M$26,MATCH(L$97,Stockpile!$B$10:$B$26,0),MATCH($Q44,Stockpile!$C$30:$M$30,0)),
IFERROR(INDEX('Asphalt Silo &amp; Unloading'!$D$10:$M$44,MATCH(L$97,'Asphalt Silo &amp; Unloading'!$B$10:$B$44,0),MATCH($Q44,'Asphalt Silo &amp; Unloading'!$D$49:$M$49,0)),""))))))</f>
        <v/>
      </c>
      <c r="M44" s="590" t="str">
        <f>IFERROR(INDEX('Material Handling'!$C$10:$AH$33,MATCH(M$97,Material_Handling[Data],0),MATCH($Q44,'Material Handling'!$C$40:$AH$40,0)), IFERROR(INDEX('Drop Point'!$B$13:$M$36,MATCH(M$97,'Drop Point'!$B$13:$B$37,0),MATCH($Q44,'Drop Point'!$B$41:$M$41,0)),
IFERROR(INDEX('Control - Grain dscf'!$C$11:$N$27,MATCH(M$97,'Control - Grain dscf'!$B$11:$B$27,0),MATCH($Q44,'Control - Grain dscf'!$C$32:$N$32,0)),
IFERROR(INDEX('Control - Alt'!$C$9:$O$27,MATCH(M$97,'Control - Alt'!$B$9:$B$27,0),MATCH($Q44,'Control - Alt'!$C$32:$O$32,0)),
IFERROR(INDEX(Stockpile!$C$10:$M$26,MATCH(M$97,Stockpile!$B$10:$B$26,0),MATCH($Q44,Stockpile!$C$30:$M$30,0)),
IFERROR(INDEX('Asphalt Silo &amp; Unloading'!$D$10:$M$44,MATCH(M$97,'Asphalt Silo &amp; Unloading'!$B$10:$B$44,0),MATCH($Q44,'Asphalt Silo &amp; Unloading'!$D$49:$M$49,0)),""))))))</f>
        <v/>
      </c>
      <c r="N44" s="590" t="str">
        <f>IFERROR(INDEX('Material Handling'!$C$10:$AH$33,MATCH(N$97,Material_Handling[Data],0),MATCH($Q44,'Material Handling'!$C$40:$AH$40,0)), IFERROR(INDEX('Drop Point'!$B$13:$M$36,MATCH(N$97,'Drop Point'!$B$13:$B$37,0),MATCH($Q44,'Drop Point'!$B$41:$M$41,0)),
IFERROR(INDEX('Control - Grain dscf'!$C$11:$N$27,MATCH(N$97,'Control - Grain dscf'!$B$11:$B$27,0),MATCH($Q44,'Control - Grain dscf'!$C$32:$N$32,0)),
IFERROR(INDEX('Control - Alt'!$C$9:$O$27,MATCH(N$97,'Control - Alt'!$B$9:$B$27,0),MATCH($Q44,'Control - Alt'!$C$32:$O$32,0)),
IFERROR(INDEX(Stockpile!$C$10:$M$26,MATCH(N$97,Stockpile!$B$10:$B$26,0),MATCH($Q44,Stockpile!$C$30:$M$30,0)),
IFERROR(INDEX('Asphalt Silo &amp; Unloading'!$D$10:$M$44,MATCH(N$97,'Asphalt Silo &amp; Unloading'!$B$10:$B$44,0),MATCH($Q44,'Asphalt Silo &amp; Unloading'!$D$49:$M$49,0)),""))))))</f>
        <v/>
      </c>
      <c r="O44" s="591" t="str">
        <f>IFERROR(INDEX('Material Handling'!$C$10:$AH$33,MATCH(O$97,Material_Handling[Data],0),MATCH($Q44,'Material Handling'!$C$40:$AH$40,0)), IFERROR(INDEX('Drop Point'!$B$13:$M$36,MATCH(O$97,'Drop Point'!$B$13:$B$37,0),MATCH($Q44,'Drop Point'!$B$41:$M$41,0)),
IFERROR(INDEX('Control - Grain dscf'!$C$11:$N$27,MATCH(O$97,'Control - Grain dscf'!$B$11:$B$27,0),MATCH($Q44,'Control - Grain dscf'!$C$32:$N$32,0)),
IFERROR(INDEX('Control - Alt'!$C$9:$O$27,MATCH(O$97,'Control - Alt'!$B$9:$B$27,0),MATCH($Q44,'Control - Alt'!$C$32:$O$32,0)),
IFERROR(INDEX(Stockpile!$C$10:$M$26,MATCH(O$97,Stockpile!$B$10:$B$26,0),MATCH($Q44,Stockpile!$C$30:$M$30,0)),
IFERROR(INDEX('Asphalt Silo &amp; Unloading'!$D$10:$M$44,MATCH(O$97,'Asphalt Silo &amp; Unloading'!$B$10:$B$44,0),MATCH($Q44,'Asphalt Silo &amp; Unloading'!$D$49:$M$49,0)),""))))))</f>
        <v/>
      </c>
      <c r="Q44" s="131">
        <f t="shared" si="1"/>
        <v>36</v>
      </c>
    </row>
    <row r="45" spans="1:17" ht="20.100000000000001" customHeight="1">
      <c r="A45" s="293" t="str">
        <f>IFERROR(INDEX('Material Handling'!$C$10:$AH$33,MATCH(A$97,Material_Handling[Data],0),MATCH($Q45,'Material Handling'!$C$40:$AH$40,0)), IFERROR(INDEX('Drop Point'!$B$13:$M$36,MATCH(A$97,'Drop Point'!$B$13:$B$37,0),MATCH($Q45,'Drop Point'!$B$41:$M$41,0)),
IFERROR(INDEX('Control - Grain dscf'!$C$11:$N$27,MATCH(A$97,'Control - Grain dscf'!$B$11:$B$27,0),MATCH($Q45,'Control - Grain dscf'!$C$32:$N$32,0)),
IFERROR(INDEX('Control - Alt'!$C$9:$O$27,MATCH(A$97,'Control - Alt'!$B$9:$B$27,0),MATCH($Q45,'Control - Alt'!$C$32:$O$32,0)),
IFERROR(INDEX(Stockpile!$C$10:$M$26,MATCH(A$97,Stockpile!$B$10:$B$26,0),MATCH($Q45,Stockpile!$C$30:$M$30,0)),
IFERROR(INDEX('Asphalt Silo &amp; Unloading'!$D$10:$M$44,MATCH(A$97,'Asphalt Silo &amp; Unloading'!$B$10:$B$44,0),MATCH($Q45,'Asphalt Silo &amp; Unloading'!$D$49:$M$49,0)),""))))))</f>
        <v/>
      </c>
      <c r="B45" s="135" t="str">
        <f>IFERROR(INDEX('Material Handling'!$C$10:$AH$33,MATCH(B$97,Material_Handling[Data],0),MATCH($Q45,'Material Handling'!$C$40:$AH$40,0)), IFERROR(INDEX('Drop Point'!$B$13:$M$36,MATCH(B$97,'Drop Point'!$B$13:$B$37,0),MATCH($Q45,'Drop Point'!$B$41:$M$41,0)),
IFERROR(INDEX('Control - Grain dscf'!$C$11:$N$27,MATCH(B$97,'Control - Grain dscf'!$B$11:$B$27,0),MATCH($Q45,'Control - Grain dscf'!$C$32:$N$32,0)),
IFERROR(INDEX('Control - Alt'!$C$9:$O$27,MATCH(B$97,'Control - Alt'!$B$9:$B$27,0),MATCH($Q45,'Control - Alt'!$C$32:$O$32,0)),
IFERROR(INDEX(Stockpile!$C$10:$M$26,MATCH(B$97,Stockpile!$B$10:$B$26,0),MATCH($Q45,Stockpile!$C$30:$M$30,0)),
IFERROR(INDEX('Asphalt Silo &amp; Unloading'!$D$10:$M$44,MATCH(B$97,'Asphalt Silo &amp; Unloading'!$B$10:$B$44,0),MATCH($Q45,'Asphalt Silo &amp; Unloading'!$D$49:$M$49,0)),""))))))</f>
        <v/>
      </c>
      <c r="C45" s="135" t="str">
        <f>IFERROR(INDEX('Material Handling'!$C$10:$AH$33,MATCH(C$97,Material_Handling[Data],0),MATCH($Q45,'Material Handling'!$C$40:$AH$40,0)), IFERROR(INDEX('Drop Point'!$B$13:$M$36,MATCH(C$97,'Drop Point'!$B$13:$B$37,0),MATCH($Q45,'Drop Point'!$B$41:$M$41,0)),
IFERROR(INDEX('Control - Grain dscf'!$C$11:$N$27,MATCH(C$97,'Control - Grain dscf'!$B$11:$B$27,0),MATCH($Q45,'Control - Grain dscf'!$C$32:$N$32,0)),
IFERROR(INDEX('Control - Alt'!$C$9:$O$27,MATCH(C$97,'Control - Alt'!$B$9:$B$27,0),MATCH($Q45,'Control - Alt'!$C$32:$O$32,0)),
IFERROR(INDEX(Stockpile!$C$10:$M$26,MATCH(C$97,Stockpile!$B$10:$B$26,0),MATCH($Q45,Stockpile!$C$30:$M$30,0)),
IFERROR(INDEX('Asphalt Silo &amp; Unloading'!$D$10:$M$44,MATCH(C$97,'Asphalt Silo &amp; Unloading'!$B$10:$B$44,0),MATCH($Q45,'Asphalt Silo &amp; Unloading'!$D$49:$M$49,0)),""))))))</f>
        <v/>
      </c>
      <c r="D45" s="135" t="str">
        <f>IFERROR(INDEX('Material Handling'!$C$10:$AH$33,MATCH(D$97,Material_Handling[Data],0),MATCH($Q45,'Material Handling'!$C$40:$AH$40,0)), IFERROR(INDEX('Drop Point'!$B$13:$M$36,MATCH(D$97,'Drop Point'!$B$13:$B$37,0),MATCH($Q45,'Drop Point'!$B$41:$M$41,0)),
IFERROR(INDEX('Control - Grain dscf'!$C$11:$N$27,MATCH(D$97,'Control - Grain dscf'!$B$11:$B$27,0),MATCH($Q45,'Control - Grain dscf'!$C$32:$N$32,0)),
IFERROR(INDEX('Control - Alt'!$C$9:$O$27,MATCH(D$97,'Control - Alt'!$B$9:$B$27,0),MATCH($Q45,'Control - Alt'!$C$32:$O$32,0)),
IFERROR(INDEX(Stockpile!$C$10:$M$26,MATCH(D$97,Stockpile!$B$10:$B$26,0),MATCH($Q45,Stockpile!$C$30:$M$30,0)),
IFERROR(INDEX('Asphalt Silo &amp; Unloading'!$D$10:$M$44,MATCH(D$97,'Asphalt Silo &amp; Unloading'!$B$10:$B$44,0),MATCH($Q45,'Asphalt Silo &amp; Unloading'!$D$49:$M$49,0)),""))))))</f>
        <v/>
      </c>
      <c r="E45" s="620" t="str">
        <f>IFERROR(INDEX('Material Handling'!$C$10:$AH$33,MATCH(E$97,Material_Handling[Data],0),MATCH($Q45,'Material Handling'!$C$40:$AH$40,0)), IFERROR(INDEX('Drop Point'!$B$13:$M$36,MATCH(E$97,'Drop Point'!$B$13:$B$37,0),MATCH($Q45,'Drop Point'!$B$41:$M$41,0)),
IFERROR(INDEX('Control - Grain dscf'!$C$11:$N$27,MATCH(E$97,'Control - Grain dscf'!$B$11:$B$27,0),MATCH($Q45,'Control - Grain dscf'!$C$32:$N$32,0)),
IFERROR(INDEX('Control - Alt'!$C$9:$O$27,MATCH(E$97,'Control - Alt'!$B$9:$B$27,0),MATCH($Q45,'Control - Alt'!$C$32:$O$32,0)),
IFERROR(INDEX(Stockpile!$C$10:$M$26,MATCH(E$97,Stockpile!$B$10:$B$26,0),MATCH($Q45,Stockpile!$C$30:$M$30,0)),
IFERROR(INDEX('Asphalt Silo &amp; Unloading'!$D$10:$M$44,MATCH(E$97,'Asphalt Silo &amp; Unloading'!$B$10:$B$44,0),MATCH($Q45,'Asphalt Silo &amp; Unloading'!$D$49:$M$49,0)),""))))))</f>
        <v/>
      </c>
      <c r="F45" s="590" t="str">
        <f>IFERROR(INDEX('Material Handling'!$C$10:$AH$33,MATCH(F$97,Material_Handling[Data],0),MATCH($Q45,'Material Handling'!$C$40:$AH$40,0)), IFERROR(INDEX('Drop Point'!$B$13:$M$36,MATCH(F$97,'Drop Point'!$B$13:$B$37,0),MATCH($Q45,'Drop Point'!$B$41:$M$41,0)),
IFERROR(INDEX('Control - Grain dscf'!$C$11:$N$27,MATCH(F$97,'Control - Grain dscf'!$B$11:$B$27,0),MATCH($Q45,'Control - Grain dscf'!$C$32:$N$32,0)),
IFERROR(INDEX('Control - Alt'!$C$9:$O$27,MATCH(F$97,'Control - Alt'!$B$9:$B$27,0),MATCH($Q45,'Control - Alt'!$C$32:$O$32,0)),
IFERROR(INDEX(Stockpile!$C$10:$M$26,MATCH(F$97,Stockpile!$B$10:$B$26,0),MATCH($Q45,Stockpile!$C$30:$M$30,0)),
IFERROR(INDEX('Asphalt Silo &amp; Unloading'!$D$10:$M$44,MATCH(F$97,'Asphalt Silo &amp; Unloading'!$B$10:$B$44,0),MATCH($Q45,'Asphalt Silo &amp; Unloading'!$D$49:$M$49,0)),""))))))</f>
        <v/>
      </c>
      <c r="G45" s="590" t="str">
        <f>IFERROR(INDEX('Material Handling'!$C$10:$AH$33,MATCH(G$97,Material_Handling[Data],0),MATCH($Q45,'Material Handling'!$C$40:$AH$40,0)), IFERROR(INDEX('Drop Point'!$B$13:$M$36,MATCH(G$97,'Drop Point'!$B$13:$B$37,0),MATCH($Q45,'Drop Point'!$B$41:$M$41,0)),
IFERROR(INDEX('Control - Grain dscf'!$C$11:$N$27,MATCH(G$97,'Control - Grain dscf'!$B$11:$B$27,0),MATCH($Q45,'Control - Grain dscf'!$C$32:$N$32,0)),
IFERROR(INDEX('Control - Alt'!$C$9:$O$27,MATCH(G$97,'Control - Alt'!$B$9:$B$27,0),MATCH($Q45,'Control - Alt'!$C$32:$O$32,0)),
IFERROR(INDEX(Stockpile!$C$10:$M$26,MATCH(G$97,Stockpile!$B$10:$B$26,0),MATCH($Q45,Stockpile!$C$30:$M$30,0)),
IFERROR(INDEX('Asphalt Silo &amp; Unloading'!$D$10:$M$44,MATCH(G$97,'Asphalt Silo &amp; Unloading'!$B$10:$B$44,0),MATCH($Q45,'Asphalt Silo &amp; Unloading'!$D$49:$M$49,0)),""))))))</f>
        <v/>
      </c>
      <c r="H45" s="590" t="str">
        <f>IFERROR(INDEX('Material Handling'!$C$10:$AH$33,MATCH(H$97,Material_Handling[Data],0),MATCH($Q45,'Material Handling'!$C$40:$AH$40,0)), IFERROR(INDEX('Drop Point'!$B$13:$M$36,MATCH(H$97,'Drop Point'!$B$13:$B$37,0),MATCH($Q45,'Drop Point'!$B$41:$M$41,0)),
IFERROR(INDEX('Control - Grain dscf'!$C$11:$N$27,MATCH(H$97,'Control - Grain dscf'!$B$11:$B$27,0),MATCH($Q45,'Control - Grain dscf'!$C$32:$N$32,0)),
IFERROR(INDEX('Control - Alt'!$C$9:$O$27,MATCH(H$97,'Control - Alt'!$B$9:$B$27,0),MATCH($Q45,'Control - Alt'!$C$32:$O$32,0)),
IFERROR(INDEX(Stockpile!$C$10:$M$26,MATCH(H$97,Stockpile!$B$10:$B$26,0),MATCH($Q45,Stockpile!$C$30:$M$30,0)),
IFERROR(INDEX('Asphalt Silo &amp; Unloading'!$D$10:$M$44,MATCH(H$97,'Asphalt Silo &amp; Unloading'!$B$10:$B$44,0),MATCH($Q45,'Asphalt Silo &amp; Unloading'!$D$49:$M$49,0)),""))))))</f>
        <v/>
      </c>
      <c r="I45" s="590" t="str">
        <f>IFERROR(INDEX('Material Handling'!$C$10:$AH$33,MATCH(I$97,Material_Handling[Data],0),MATCH($Q45,'Material Handling'!$C$40:$AH$40,0)), IFERROR(INDEX('Drop Point'!$B$13:$M$36,MATCH(I$97,'Drop Point'!$B$13:$B$37,0),MATCH($Q45,'Drop Point'!$B$41:$M$41,0)),
IFERROR(INDEX('Control - Grain dscf'!$C$11:$N$27,MATCH(I$97,'Control - Grain dscf'!$B$11:$B$27,0),MATCH($Q45,'Control - Grain dscf'!$C$32:$N$32,0)),
IFERROR(INDEX('Control - Alt'!$C$9:$O$27,MATCH(I$97,'Control - Alt'!$B$9:$B$27,0),MATCH($Q45,'Control - Alt'!$C$32:$O$32,0)),
IFERROR(INDEX(Stockpile!$C$10:$M$26,MATCH(I$97,Stockpile!$B$10:$B$26,0),MATCH($Q45,Stockpile!$C$30:$M$30,0)),
IFERROR(INDEX('Asphalt Silo &amp; Unloading'!$D$10:$M$44,MATCH(I$97,'Asphalt Silo &amp; Unloading'!$B$10:$B$44,0),MATCH($Q45,'Asphalt Silo &amp; Unloading'!$D$49:$M$49,0)),""))))))</f>
        <v/>
      </c>
      <c r="J45" s="590" t="str">
        <f>IFERROR(INDEX('Material Handling'!$C$10:$AH$33,MATCH(J$97,Material_Handling[Data],0),MATCH($Q45,'Material Handling'!$C$40:$AH$40,0)), IFERROR(INDEX('Drop Point'!$B$13:$M$36,MATCH(J$97,'Drop Point'!$B$13:$B$37,0),MATCH($Q45,'Drop Point'!$B$41:$M$41,0)),
IFERROR(INDEX('Control - Grain dscf'!$C$11:$N$27,MATCH(J$97,'Control - Grain dscf'!$B$11:$B$27,0),MATCH($Q45,'Control - Grain dscf'!$C$32:$N$32,0)),
IFERROR(INDEX('Control - Alt'!$C$9:$O$27,MATCH(J$97,'Control - Alt'!$B$9:$B$27,0),MATCH($Q45,'Control - Alt'!$C$32:$O$32,0)),
IFERROR(INDEX(Stockpile!$C$10:$M$26,MATCH(J$97,Stockpile!$B$10:$B$26,0),MATCH($Q45,Stockpile!$C$30:$M$30,0)),
IFERROR(INDEX('Asphalt Silo &amp; Unloading'!$D$10:$M$44,MATCH(J$97,'Asphalt Silo &amp; Unloading'!$B$10:$B$44,0),MATCH($Q45,'Asphalt Silo &amp; Unloading'!$D$49:$M$49,0)),""))))))</f>
        <v/>
      </c>
      <c r="K45" s="590" t="str">
        <f>IFERROR(INDEX('Material Handling'!$C$10:$AH$33,MATCH(K$97,Material_Handling[Data],0),MATCH($Q45,'Material Handling'!$C$40:$AH$40,0)), IFERROR(INDEX('Drop Point'!$B$13:$M$36,MATCH(K$97,'Drop Point'!$B$13:$B$37,0),MATCH($Q45,'Drop Point'!$B$41:$M$41,0)),
IFERROR(INDEX('Control - Grain dscf'!$C$11:$N$27,MATCH(K$97,'Control - Grain dscf'!$B$11:$B$27,0),MATCH($Q45,'Control - Grain dscf'!$C$32:$N$32,0)),
IFERROR(INDEX('Control - Alt'!$C$9:$O$27,MATCH(K$97,'Control - Alt'!$B$9:$B$27,0),MATCH($Q45,'Control - Alt'!$C$32:$O$32,0)),
IFERROR(INDEX(Stockpile!$C$10:$M$26,MATCH(K$97,Stockpile!$B$10:$B$26,0),MATCH($Q45,Stockpile!$C$30:$M$30,0)),
IFERROR(INDEX('Asphalt Silo &amp; Unloading'!$D$10:$M$44,MATCH(K$97,'Asphalt Silo &amp; Unloading'!$B$10:$B$44,0),MATCH($Q45,'Asphalt Silo &amp; Unloading'!$D$49:$M$49,0)),""))))))</f>
        <v/>
      </c>
      <c r="L45" s="590" t="str">
        <f>IFERROR(INDEX('Material Handling'!$C$10:$AH$33,MATCH(L$97,Material_Handling[Data],0),MATCH($Q45,'Material Handling'!$C$40:$AH$40,0)), IFERROR(INDEX('Drop Point'!$B$13:$M$36,MATCH(L$97,'Drop Point'!$B$13:$B$37,0),MATCH($Q45,'Drop Point'!$B$41:$M$41,0)),
IFERROR(INDEX('Control - Grain dscf'!$C$11:$N$27,MATCH(L$97,'Control - Grain dscf'!$B$11:$B$27,0),MATCH($Q45,'Control - Grain dscf'!$C$32:$N$32,0)),
IFERROR(INDEX('Control - Alt'!$C$9:$O$27,MATCH(L$97,'Control - Alt'!$B$9:$B$27,0),MATCH($Q45,'Control - Alt'!$C$32:$O$32,0)),
IFERROR(INDEX(Stockpile!$C$10:$M$26,MATCH(L$97,Stockpile!$B$10:$B$26,0),MATCH($Q45,Stockpile!$C$30:$M$30,0)),
IFERROR(INDEX('Asphalt Silo &amp; Unloading'!$D$10:$M$44,MATCH(L$97,'Asphalt Silo &amp; Unloading'!$B$10:$B$44,0),MATCH($Q45,'Asphalt Silo &amp; Unloading'!$D$49:$M$49,0)),""))))))</f>
        <v/>
      </c>
      <c r="M45" s="590" t="str">
        <f>IFERROR(INDEX('Material Handling'!$C$10:$AH$33,MATCH(M$97,Material_Handling[Data],0),MATCH($Q45,'Material Handling'!$C$40:$AH$40,0)), IFERROR(INDEX('Drop Point'!$B$13:$M$36,MATCH(M$97,'Drop Point'!$B$13:$B$37,0),MATCH($Q45,'Drop Point'!$B$41:$M$41,0)),
IFERROR(INDEX('Control - Grain dscf'!$C$11:$N$27,MATCH(M$97,'Control - Grain dscf'!$B$11:$B$27,0),MATCH($Q45,'Control - Grain dscf'!$C$32:$N$32,0)),
IFERROR(INDEX('Control - Alt'!$C$9:$O$27,MATCH(M$97,'Control - Alt'!$B$9:$B$27,0),MATCH($Q45,'Control - Alt'!$C$32:$O$32,0)),
IFERROR(INDEX(Stockpile!$C$10:$M$26,MATCH(M$97,Stockpile!$B$10:$B$26,0),MATCH($Q45,Stockpile!$C$30:$M$30,0)),
IFERROR(INDEX('Asphalt Silo &amp; Unloading'!$D$10:$M$44,MATCH(M$97,'Asphalt Silo &amp; Unloading'!$B$10:$B$44,0),MATCH($Q45,'Asphalt Silo &amp; Unloading'!$D$49:$M$49,0)),""))))))</f>
        <v/>
      </c>
      <c r="N45" s="590" t="str">
        <f>IFERROR(INDEX('Material Handling'!$C$10:$AH$33,MATCH(N$97,Material_Handling[Data],0),MATCH($Q45,'Material Handling'!$C$40:$AH$40,0)), IFERROR(INDEX('Drop Point'!$B$13:$M$36,MATCH(N$97,'Drop Point'!$B$13:$B$37,0),MATCH($Q45,'Drop Point'!$B$41:$M$41,0)),
IFERROR(INDEX('Control - Grain dscf'!$C$11:$N$27,MATCH(N$97,'Control - Grain dscf'!$B$11:$B$27,0),MATCH($Q45,'Control - Grain dscf'!$C$32:$N$32,0)),
IFERROR(INDEX('Control - Alt'!$C$9:$O$27,MATCH(N$97,'Control - Alt'!$B$9:$B$27,0),MATCH($Q45,'Control - Alt'!$C$32:$O$32,0)),
IFERROR(INDEX(Stockpile!$C$10:$M$26,MATCH(N$97,Stockpile!$B$10:$B$26,0),MATCH($Q45,Stockpile!$C$30:$M$30,0)),
IFERROR(INDEX('Asphalt Silo &amp; Unloading'!$D$10:$M$44,MATCH(N$97,'Asphalt Silo &amp; Unloading'!$B$10:$B$44,0),MATCH($Q45,'Asphalt Silo &amp; Unloading'!$D$49:$M$49,0)),""))))))</f>
        <v/>
      </c>
      <c r="O45" s="591" t="str">
        <f>IFERROR(INDEX('Material Handling'!$C$10:$AH$33,MATCH(O$97,Material_Handling[Data],0),MATCH($Q45,'Material Handling'!$C$40:$AH$40,0)), IFERROR(INDEX('Drop Point'!$B$13:$M$36,MATCH(O$97,'Drop Point'!$B$13:$B$37,0),MATCH($Q45,'Drop Point'!$B$41:$M$41,0)),
IFERROR(INDEX('Control - Grain dscf'!$C$11:$N$27,MATCH(O$97,'Control - Grain dscf'!$B$11:$B$27,0),MATCH($Q45,'Control - Grain dscf'!$C$32:$N$32,0)),
IFERROR(INDEX('Control - Alt'!$C$9:$O$27,MATCH(O$97,'Control - Alt'!$B$9:$B$27,0),MATCH($Q45,'Control - Alt'!$C$32:$O$32,0)),
IFERROR(INDEX(Stockpile!$C$10:$M$26,MATCH(O$97,Stockpile!$B$10:$B$26,0),MATCH($Q45,Stockpile!$C$30:$M$30,0)),
IFERROR(INDEX('Asphalt Silo &amp; Unloading'!$D$10:$M$44,MATCH(O$97,'Asphalt Silo &amp; Unloading'!$B$10:$B$44,0),MATCH($Q45,'Asphalt Silo &amp; Unloading'!$D$49:$M$49,0)),""))))))</f>
        <v/>
      </c>
      <c r="Q45" s="131">
        <f t="shared" si="1"/>
        <v>37</v>
      </c>
    </row>
    <row r="46" spans="1:17" ht="20.100000000000001" customHeight="1">
      <c r="A46" s="293" t="str">
        <f>IFERROR(INDEX('Material Handling'!$C$10:$AH$33,MATCH(A$97,Material_Handling[Data],0),MATCH($Q46,'Material Handling'!$C$40:$AH$40,0)), IFERROR(INDEX('Drop Point'!$B$13:$M$36,MATCH(A$97,'Drop Point'!$B$13:$B$37,0),MATCH($Q46,'Drop Point'!$B$41:$M$41,0)),
IFERROR(INDEX('Control - Grain dscf'!$C$11:$N$27,MATCH(A$97,'Control - Grain dscf'!$B$11:$B$27,0),MATCH($Q46,'Control - Grain dscf'!$C$32:$N$32,0)),
IFERROR(INDEX('Control - Alt'!$C$9:$O$27,MATCH(A$97,'Control - Alt'!$B$9:$B$27,0),MATCH($Q46,'Control - Alt'!$C$32:$O$32,0)),
IFERROR(INDEX(Stockpile!$C$10:$M$26,MATCH(A$97,Stockpile!$B$10:$B$26,0),MATCH($Q46,Stockpile!$C$30:$M$30,0)),
IFERROR(INDEX('Asphalt Silo &amp; Unloading'!$D$10:$M$44,MATCH(A$97,'Asphalt Silo &amp; Unloading'!$B$10:$B$44,0),MATCH($Q46,'Asphalt Silo &amp; Unloading'!$D$49:$M$49,0)),""))))))</f>
        <v/>
      </c>
      <c r="B46" s="135" t="str">
        <f>IFERROR(INDEX('Material Handling'!$C$10:$AH$33,MATCH(B$97,Material_Handling[Data],0),MATCH($Q46,'Material Handling'!$C$40:$AH$40,0)), IFERROR(INDEX('Drop Point'!$B$13:$M$36,MATCH(B$97,'Drop Point'!$B$13:$B$37,0),MATCH($Q46,'Drop Point'!$B$41:$M$41,0)),
IFERROR(INDEX('Control - Grain dscf'!$C$11:$N$27,MATCH(B$97,'Control - Grain dscf'!$B$11:$B$27,0),MATCH($Q46,'Control - Grain dscf'!$C$32:$N$32,0)),
IFERROR(INDEX('Control - Alt'!$C$9:$O$27,MATCH(B$97,'Control - Alt'!$B$9:$B$27,0),MATCH($Q46,'Control - Alt'!$C$32:$O$32,0)),
IFERROR(INDEX(Stockpile!$C$10:$M$26,MATCH(B$97,Stockpile!$B$10:$B$26,0),MATCH($Q46,Stockpile!$C$30:$M$30,0)),
IFERROR(INDEX('Asphalt Silo &amp; Unloading'!$D$10:$M$44,MATCH(B$97,'Asphalt Silo &amp; Unloading'!$B$10:$B$44,0),MATCH($Q46,'Asphalt Silo &amp; Unloading'!$D$49:$M$49,0)),""))))))</f>
        <v/>
      </c>
      <c r="C46" s="135" t="str">
        <f>IFERROR(INDEX('Material Handling'!$C$10:$AH$33,MATCH(C$97,Material_Handling[Data],0),MATCH($Q46,'Material Handling'!$C$40:$AH$40,0)), IFERROR(INDEX('Drop Point'!$B$13:$M$36,MATCH(C$97,'Drop Point'!$B$13:$B$37,0),MATCH($Q46,'Drop Point'!$B$41:$M$41,0)),
IFERROR(INDEX('Control - Grain dscf'!$C$11:$N$27,MATCH(C$97,'Control - Grain dscf'!$B$11:$B$27,0),MATCH($Q46,'Control - Grain dscf'!$C$32:$N$32,0)),
IFERROR(INDEX('Control - Alt'!$C$9:$O$27,MATCH(C$97,'Control - Alt'!$B$9:$B$27,0),MATCH($Q46,'Control - Alt'!$C$32:$O$32,0)),
IFERROR(INDEX(Stockpile!$C$10:$M$26,MATCH(C$97,Stockpile!$B$10:$B$26,0),MATCH($Q46,Stockpile!$C$30:$M$30,0)),
IFERROR(INDEX('Asphalt Silo &amp; Unloading'!$D$10:$M$44,MATCH(C$97,'Asphalt Silo &amp; Unloading'!$B$10:$B$44,0),MATCH($Q46,'Asphalt Silo &amp; Unloading'!$D$49:$M$49,0)),""))))))</f>
        <v/>
      </c>
      <c r="D46" s="135" t="str">
        <f>IFERROR(INDEX('Material Handling'!$C$10:$AH$33,MATCH(D$97,Material_Handling[Data],0),MATCH($Q46,'Material Handling'!$C$40:$AH$40,0)), IFERROR(INDEX('Drop Point'!$B$13:$M$36,MATCH(D$97,'Drop Point'!$B$13:$B$37,0),MATCH($Q46,'Drop Point'!$B$41:$M$41,0)),
IFERROR(INDEX('Control - Grain dscf'!$C$11:$N$27,MATCH(D$97,'Control - Grain dscf'!$B$11:$B$27,0),MATCH($Q46,'Control - Grain dscf'!$C$32:$N$32,0)),
IFERROR(INDEX('Control - Alt'!$C$9:$O$27,MATCH(D$97,'Control - Alt'!$B$9:$B$27,0),MATCH($Q46,'Control - Alt'!$C$32:$O$32,0)),
IFERROR(INDEX(Stockpile!$C$10:$M$26,MATCH(D$97,Stockpile!$B$10:$B$26,0),MATCH($Q46,Stockpile!$C$30:$M$30,0)),
IFERROR(INDEX('Asphalt Silo &amp; Unloading'!$D$10:$M$44,MATCH(D$97,'Asphalt Silo &amp; Unloading'!$B$10:$B$44,0),MATCH($Q46,'Asphalt Silo &amp; Unloading'!$D$49:$M$49,0)),""))))))</f>
        <v/>
      </c>
      <c r="E46" s="620" t="str">
        <f>IFERROR(INDEX('Material Handling'!$C$10:$AH$33,MATCH(E$97,Material_Handling[Data],0),MATCH($Q46,'Material Handling'!$C$40:$AH$40,0)), IFERROR(INDEX('Drop Point'!$B$13:$M$36,MATCH(E$97,'Drop Point'!$B$13:$B$37,0),MATCH($Q46,'Drop Point'!$B$41:$M$41,0)),
IFERROR(INDEX('Control - Grain dscf'!$C$11:$N$27,MATCH(E$97,'Control - Grain dscf'!$B$11:$B$27,0),MATCH($Q46,'Control - Grain dscf'!$C$32:$N$32,0)),
IFERROR(INDEX('Control - Alt'!$C$9:$O$27,MATCH(E$97,'Control - Alt'!$B$9:$B$27,0),MATCH($Q46,'Control - Alt'!$C$32:$O$32,0)),
IFERROR(INDEX(Stockpile!$C$10:$M$26,MATCH(E$97,Stockpile!$B$10:$B$26,0),MATCH($Q46,Stockpile!$C$30:$M$30,0)),
IFERROR(INDEX('Asphalt Silo &amp; Unloading'!$D$10:$M$44,MATCH(E$97,'Asphalt Silo &amp; Unloading'!$B$10:$B$44,0),MATCH($Q46,'Asphalt Silo &amp; Unloading'!$D$49:$M$49,0)),""))))))</f>
        <v/>
      </c>
      <c r="F46" s="590" t="str">
        <f>IFERROR(INDEX('Material Handling'!$C$10:$AH$33,MATCH(F$97,Material_Handling[Data],0),MATCH($Q46,'Material Handling'!$C$40:$AH$40,0)), IFERROR(INDEX('Drop Point'!$B$13:$M$36,MATCH(F$97,'Drop Point'!$B$13:$B$37,0),MATCH($Q46,'Drop Point'!$B$41:$M$41,0)),
IFERROR(INDEX('Control - Grain dscf'!$C$11:$N$27,MATCH(F$97,'Control - Grain dscf'!$B$11:$B$27,0),MATCH($Q46,'Control - Grain dscf'!$C$32:$N$32,0)),
IFERROR(INDEX('Control - Alt'!$C$9:$O$27,MATCH(F$97,'Control - Alt'!$B$9:$B$27,0),MATCH($Q46,'Control - Alt'!$C$32:$O$32,0)),
IFERROR(INDEX(Stockpile!$C$10:$M$26,MATCH(F$97,Stockpile!$B$10:$B$26,0),MATCH($Q46,Stockpile!$C$30:$M$30,0)),
IFERROR(INDEX('Asphalt Silo &amp; Unloading'!$D$10:$M$44,MATCH(F$97,'Asphalt Silo &amp; Unloading'!$B$10:$B$44,0),MATCH($Q46,'Asphalt Silo &amp; Unloading'!$D$49:$M$49,0)),""))))))</f>
        <v/>
      </c>
      <c r="G46" s="590" t="str">
        <f>IFERROR(INDEX('Material Handling'!$C$10:$AH$33,MATCH(G$97,Material_Handling[Data],0),MATCH($Q46,'Material Handling'!$C$40:$AH$40,0)), IFERROR(INDEX('Drop Point'!$B$13:$M$36,MATCH(G$97,'Drop Point'!$B$13:$B$37,0),MATCH($Q46,'Drop Point'!$B$41:$M$41,0)),
IFERROR(INDEX('Control - Grain dscf'!$C$11:$N$27,MATCH(G$97,'Control - Grain dscf'!$B$11:$B$27,0),MATCH($Q46,'Control - Grain dscf'!$C$32:$N$32,0)),
IFERROR(INDEX('Control - Alt'!$C$9:$O$27,MATCH(G$97,'Control - Alt'!$B$9:$B$27,0),MATCH($Q46,'Control - Alt'!$C$32:$O$32,0)),
IFERROR(INDEX(Stockpile!$C$10:$M$26,MATCH(G$97,Stockpile!$B$10:$B$26,0),MATCH($Q46,Stockpile!$C$30:$M$30,0)),
IFERROR(INDEX('Asphalt Silo &amp; Unloading'!$D$10:$M$44,MATCH(G$97,'Asphalt Silo &amp; Unloading'!$B$10:$B$44,0),MATCH($Q46,'Asphalt Silo &amp; Unloading'!$D$49:$M$49,0)),""))))))</f>
        <v/>
      </c>
      <c r="H46" s="590" t="str">
        <f>IFERROR(INDEX('Material Handling'!$C$10:$AH$33,MATCH(H$97,Material_Handling[Data],0),MATCH($Q46,'Material Handling'!$C$40:$AH$40,0)), IFERROR(INDEX('Drop Point'!$B$13:$M$36,MATCH(H$97,'Drop Point'!$B$13:$B$37,0),MATCH($Q46,'Drop Point'!$B$41:$M$41,0)),
IFERROR(INDEX('Control - Grain dscf'!$C$11:$N$27,MATCH(H$97,'Control - Grain dscf'!$B$11:$B$27,0),MATCH($Q46,'Control - Grain dscf'!$C$32:$N$32,0)),
IFERROR(INDEX('Control - Alt'!$C$9:$O$27,MATCH(H$97,'Control - Alt'!$B$9:$B$27,0),MATCH($Q46,'Control - Alt'!$C$32:$O$32,0)),
IFERROR(INDEX(Stockpile!$C$10:$M$26,MATCH(H$97,Stockpile!$B$10:$B$26,0),MATCH($Q46,Stockpile!$C$30:$M$30,0)),
IFERROR(INDEX('Asphalt Silo &amp; Unloading'!$D$10:$M$44,MATCH(H$97,'Asphalt Silo &amp; Unloading'!$B$10:$B$44,0),MATCH($Q46,'Asphalt Silo &amp; Unloading'!$D$49:$M$49,0)),""))))))</f>
        <v/>
      </c>
      <c r="I46" s="590" t="str">
        <f>IFERROR(INDEX('Material Handling'!$C$10:$AH$33,MATCH(I$97,Material_Handling[Data],0),MATCH($Q46,'Material Handling'!$C$40:$AH$40,0)), IFERROR(INDEX('Drop Point'!$B$13:$M$36,MATCH(I$97,'Drop Point'!$B$13:$B$37,0),MATCH($Q46,'Drop Point'!$B$41:$M$41,0)),
IFERROR(INDEX('Control - Grain dscf'!$C$11:$N$27,MATCH(I$97,'Control - Grain dscf'!$B$11:$B$27,0),MATCH($Q46,'Control - Grain dscf'!$C$32:$N$32,0)),
IFERROR(INDEX('Control - Alt'!$C$9:$O$27,MATCH(I$97,'Control - Alt'!$B$9:$B$27,0),MATCH($Q46,'Control - Alt'!$C$32:$O$32,0)),
IFERROR(INDEX(Stockpile!$C$10:$M$26,MATCH(I$97,Stockpile!$B$10:$B$26,0),MATCH($Q46,Stockpile!$C$30:$M$30,0)),
IFERROR(INDEX('Asphalt Silo &amp; Unloading'!$D$10:$M$44,MATCH(I$97,'Asphalt Silo &amp; Unloading'!$B$10:$B$44,0),MATCH($Q46,'Asphalt Silo &amp; Unloading'!$D$49:$M$49,0)),""))))))</f>
        <v/>
      </c>
      <c r="J46" s="590" t="str">
        <f>IFERROR(INDEX('Material Handling'!$C$10:$AH$33,MATCH(J$97,Material_Handling[Data],0),MATCH($Q46,'Material Handling'!$C$40:$AH$40,0)), IFERROR(INDEX('Drop Point'!$B$13:$M$36,MATCH(J$97,'Drop Point'!$B$13:$B$37,0),MATCH($Q46,'Drop Point'!$B$41:$M$41,0)),
IFERROR(INDEX('Control - Grain dscf'!$C$11:$N$27,MATCH(J$97,'Control - Grain dscf'!$B$11:$B$27,0),MATCH($Q46,'Control - Grain dscf'!$C$32:$N$32,0)),
IFERROR(INDEX('Control - Alt'!$C$9:$O$27,MATCH(J$97,'Control - Alt'!$B$9:$B$27,0),MATCH($Q46,'Control - Alt'!$C$32:$O$32,0)),
IFERROR(INDEX(Stockpile!$C$10:$M$26,MATCH(J$97,Stockpile!$B$10:$B$26,0),MATCH($Q46,Stockpile!$C$30:$M$30,0)),
IFERROR(INDEX('Asphalt Silo &amp; Unloading'!$D$10:$M$44,MATCH(J$97,'Asphalt Silo &amp; Unloading'!$B$10:$B$44,0),MATCH($Q46,'Asphalt Silo &amp; Unloading'!$D$49:$M$49,0)),""))))))</f>
        <v/>
      </c>
      <c r="K46" s="590" t="str">
        <f>IFERROR(INDEX('Material Handling'!$C$10:$AH$33,MATCH(K$97,Material_Handling[Data],0),MATCH($Q46,'Material Handling'!$C$40:$AH$40,0)), IFERROR(INDEX('Drop Point'!$B$13:$M$36,MATCH(K$97,'Drop Point'!$B$13:$B$37,0),MATCH($Q46,'Drop Point'!$B$41:$M$41,0)),
IFERROR(INDEX('Control - Grain dscf'!$C$11:$N$27,MATCH(K$97,'Control - Grain dscf'!$B$11:$B$27,0),MATCH($Q46,'Control - Grain dscf'!$C$32:$N$32,0)),
IFERROR(INDEX('Control - Alt'!$C$9:$O$27,MATCH(K$97,'Control - Alt'!$B$9:$B$27,0),MATCH($Q46,'Control - Alt'!$C$32:$O$32,0)),
IFERROR(INDEX(Stockpile!$C$10:$M$26,MATCH(K$97,Stockpile!$B$10:$B$26,0),MATCH($Q46,Stockpile!$C$30:$M$30,0)),
IFERROR(INDEX('Asphalt Silo &amp; Unloading'!$D$10:$M$44,MATCH(K$97,'Asphalt Silo &amp; Unloading'!$B$10:$B$44,0),MATCH($Q46,'Asphalt Silo &amp; Unloading'!$D$49:$M$49,0)),""))))))</f>
        <v/>
      </c>
      <c r="L46" s="590" t="str">
        <f>IFERROR(INDEX('Material Handling'!$C$10:$AH$33,MATCH(L$97,Material_Handling[Data],0),MATCH($Q46,'Material Handling'!$C$40:$AH$40,0)), IFERROR(INDEX('Drop Point'!$B$13:$M$36,MATCH(L$97,'Drop Point'!$B$13:$B$37,0),MATCH($Q46,'Drop Point'!$B$41:$M$41,0)),
IFERROR(INDEX('Control - Grain dscf'!$C$11:$N$27,MATCH(L$97,'Control - Grain dscf'!$B$11:$B$27,0),MATCH($Q46,'Control - Grain dscf'!$C$32:$N$32,0)),
IFERROR(INDEX('Control - Alt'!$C$9:$O$27,MATCH(L$97,'Control - Alt'!$B$9:$B$27,0),MATCH($Q46,'Control - Alt'!$C$32:$O$32,0)),
IFERROR(INDEX(Stockpile!$C$10:$M$26,MATCH(L$97,Stockpile!$B$10:$B$26,0),MATCH($Q46,Stockpile!$C$30:$M$30,0)),
IFERROR(INDEX('Asphalt Silo &amp; Unloading'!$D$10:$M$44,MATCH(L$97,'Asphalt Silo &amp; Unloading'!$B$10:$B$44,0),MATCH($Q46,'Asphalt Silo &amp; Unloading'!$D$49:$M$49,0)),""))))))</f>
        <v/>
      </c>
      <c r="M46" s="590" t="str">
        <f>IFERROR(INDEX('Material Handling'!$C$10:$AH$33,MATCH(M$97,Material_Handling[Data],0),MATCH($Q46,'Material Handling'!$C$40:$AH$40,0)), IFERROR(INDEX('Drop Point'!$B$13:$M$36,MATCH(M$97,'Drop Point'!$B$13:$B$37,0),MATCH($Q46,'Drop Point'!$B$41:$M$41,0)),
IFERROR(INDEX('Control - Grain dscf'!$C$11:$N$27,MATCH(M$97,'Control - Grain dscf'!$B$11:$B$27,0),MATCH($Q46,'Control - Grain dscf'!$C$32:$N$32,0)),
IFERROR(INDEX('Control - Alt'!$C$9:$O$27,MATCH(M$97,'Control - Alt'!$B$9:$B$27,0),MATCH($Q46,'Control - Alt'!$C$32:$O$32,0)),
IFERROR(INDEX(Stockpile!$C$10:$M$26,MATCH(M$97,Stockpile!$B$10:$B$26,0),MATCH($Q46,Stockpile!$C$30:$M$30,0)),
IFERROR(INDEX('Asphalt Silo &amp; Unloading'!$D$10:$M$44,MATCH(M$97,'Asphalt Silo &amp; Unloading'!$B$10:$B$44,0),MATCH($Q46,'Asphalt Silo &amp; Unloading'!$D$49:$M$49,0)),""))))))</f>
        <v/>
      </c>
      <c r="N46" s="590" t="str">
        <f>IFERROR(INDEX('Material Handling'!$C$10:$AH$33,MATCH(N$97,Material_Handling[Data],0),MATCH($Q46,'Material Handling'!$C$40:$AH$40,0)), IFERROR(INDEX('Drop Point'!$B$13:$M$36,MATCH(N$97,'Drop Point'!$B$13:$B$37,0),MATCH($Q46,'Drop Point'!$B$41:$M$41,0)),
IFERROR(INDEX('Control - Grain dscf'!$C$11:$N$27,MATCH(N$97,'Control - Grain dscf'!$B$11:$B$27,0),MATCH($Q46,'Control - Grain dscf'!$C$32:$N$32,0)),
IFERROR(INDEX('Control - Alt'!$C$9:$O$27,MATCH(N$97,'Control - Alt'!$B$9:$B$27,0),MATCH($Q46,'Control - Alt'!$C$32:$O$32,0)),
IFERROR(INDEX(Stockpile!$C$10:$M$26,MATCH(N$97,Stockpile!$B$10:$B$26,0),MATCH($Q46,Stockpile!$C$30:$M$30,0)),
IFERROR(INDEX('Asphalt Silo &amp; Unloading'!$D$10:$M$44,MATCH(N$97,'Asphalt Silo &amp; Unloading'!$B$10:$B$44,0),MATCH($Q46,'Asphalt Silo &amp; Unloading'!$D$49:$M$49,0)),""))))))</f>
        <v/>
      </c>
      <c r="O46" s="591" t="str">
        <f>IFERROR(INDEX('Material Handling'!$C$10:$AH$33,MATCH(O$97,Material_Handling[Data],0),MATCH($Q46,'Material Handling'!$C$40:$AH$40,0)), IFERROR(INDEX('Drop Point'!$B$13:$M$36,MATCH(O$97,'Drop Point'!$B$13:$B$37,0),MATCH($Q46,'Drop Point'!$B$41:$M$41,0)),
IFERROR(INDEX('Control - Grain dscf'!$C$11:$N$27,MATCH(O$97,'Control - Grain dscf'!$B$11:$B$27,0),MATCH($Q46,'Control - Grain dscf'!$C$32:$N$32,0)),
IFERROR(INDEX('Control - Alt'!$C$9:$O$27,MATCH(O$97,'Control - Alt'!$B$9:$B$27,0),MATCH($Q46,'Control - Alt'!$C$32:$O$32,0)),
IFERROR(INDEX(Stockpile!$C$10:$M$26,MATCH(O$97,Stockpile!$B$10:$B$26,0),MATCH($Q46,Stockpile!$C$30:$M$30,0)),
IFERROR(INDEX('Asphalt Silo &amp; Unloading'!$D$10:$M$44,MATCH(O$97,'Asphalt Silo &amp; Unloading'!$B$10:$B$44,0),MATCH($Q46,'Asphalt Silo &amp; Unloading'!$D$49:$M$49,0)),""))))))</f>
        <v/>
      </c>
      <c r="Q46" s="131">
        <f t="shared" si="1"/>
        <v>38</v>
      </c>
    </row>
    <row r="47" spans="1:17" ht="20.100000000000001" customHeight="1">
      <c r="A47" s="293" t="str">
        <f>IFERROR(INDEX('Material Handling'!$C$10:$AH$33,MATCH(A$97,Material_Handling[Data],0),MATCH($Q47,'Material Handling'!$C$40:$AH$40,0)), IFERROR(INDEX('Drop Point'!$B$13:$M$36,MATCH(A$97,'Drop Point'!$B$13:$B$37,0),MATCH($Q47,'Drop Point'!$B$41:$M$41,0)),
IFERROR(INDEX('Control - Grain dscf'!$C$11:$N$27,MATCH(A$97,'Control - Grain dscf'!$B$11:$B$27,0),MATCH($Q47,'Control - Grain dscf'!$C$32:$N$32,0)),
IFERROR(INDEX('Control - Alt'!$C$9:$O$27,MATCH(A$97,'Control - Alt'!$B$9:$B$27,0),MATCH($Q47,'Control - Alt'!$C$32:$O$32,0)),
IFERROR(INDEX(Stockpile!$C$10:$M$26,MATCH(A$97,Stockpile!$B$10:$B$26,0),MATCH($Q47,Stockpile!$C$30:$M$30,0)),
IFERROR(INDEX('Asphalt Silo &amp; Unloading'!$D$10:$M$44,MATCH(A$97,'Asphalt Silo &amp; Unloading'!$B$10:$B$44,0),MATCH($Q47,'Asphalt Silo &amp; Unloading'!$D$49:$M$49,0)),""))))))</f>
        <v/>
      </c>
      <c r="B47" s="135" t="str">
        <f>IFERROR(INDEX('Material Handling'!$C$10:$AH$33,MATCH(B$97,Material_Handling[Data],0),MATCH($Q47,'Material Handling'!$C$40:$AH$40,0)), IFERROR(INDEX('Drop Point'!$B$13:$M$36,MATCH(B$97,'Drop Point'!$B$13:$B$37,0),MATCH($Q47,'Drop Point'!$B$41:$M$41,0)),
IFERROR(INDEX('Control - Grain dscf'!$C$11:$N$27,MATCH(B$97,'Control - Grain dscf'!$B$11:$B$27,0),MATCH($Q47,'Control - Grain dscf'!$C$32:$N$32,0)),
IFERROR(INDEX('Control - Alt'!$C$9:$O$27,MATCH(B$97,'Control - Alt'!$B$9:$B$27,0),MATCH($Q47,'Control - Alt'!$C$32:$O$32,0)),
IFERROR(INDEX(Stockpile!$C$10:$M$26,MATCH(B$97,Stockpile!$B$10:$B$26,0),MATCH($Q47,Stockpile!$C$30:$M$30,0)),
IFERROR(INDEX('Asphalt Silo &amp; Unloading'!$D$10:$M$44,MATCH(B$97,'Asphalt Silo &amp; Unloading'!$B$10:$B$44,0),MATCH($Q47,'Asphalt Silo &amp; Unloading'!$D$49:$M$49,0)),""))))))</f>
        <v/>
      </c>
      <c r="C47" s="135" t="str">
        <f>IFERROR(INDEX('Material Handling'!$C$10:$AH$33,MATCH(C$97,Material_Handling[Data],0),MATCH($Q47,'Material Handling'!$C$40:$AH$40,0)), IFERROR(INDEX('Drop Point'!$B$13:$M$36,MATCH(C$97,'Drop Point'!$B$13:$B$37,0),MATCH($Q47,'Drop Point'!$B$41:$M$41,0)),
IFERROR(INDEX('Control - Grain dscf'!$C$11:$N$27,MATCH(C$97,'Control - Grain dscf'!$B$11:$B$27,0),MATCH($Q47,'Control - Grain dscf'!$C$32:$N$32,0)),
IFERROR(INDEX('Control - Alt'!$C$9:$O$27,MATCH(C$97,'Control - Alt'!$B$9:$B$27,0),MATCH($Q47,'Control - Alt'!$C$32:$O$32,0)),
IFERROR(INDEX(Stockpile!$C$10:$M$26,MATCH(C$97,Stockpile!$B$10:$B$26,0),MATCH($Q47,Stockpile!$C$30:$M$30,0)),
IFERROR(INDEX('Asphalt Silo &amp; Unloading'!$D$10:$M$44,MATCH(C$97,'Asphalt Silo &amp; Unloading'!$B$10:$B$44,0),MATCH($Q47,'Asphalt Silo &amp; Unloading'!$D$49:$M$49,0)),""))))))</f>
        <v/>
      </c>
      <c r="D47" s="135" t="str">
        <f>IFERROR(INDEX('Material Handling'!$C$10:$AH$33,MATCH(D$97,Material_Handling[Data],0),MATCH($Q47,'Material Handling'!$C$40:$AH$40,0)), IFERROR(INDEX('Drop Point'!$B$13:$M$36,MATCH(D$97,'Drop Point'!$B$13:$B$37,0),MATCH($Q47,'Drop Point'!$B$41:$M$41,0)),
IFERROR(INDEX('Control - Grain dscf'!$C$11:$N$27,MATCH(D$97,'Control - Grain dscf'!$B$11:$B$27,0),MATCH($Q47,'Control - Grain dscf'!$C$32:$N$32,0)),
IFERROR(INDEX('Control - Alt'!$C$9:$O$27,MATCH(D$97,'Control - Alt'!$B$9:$B$27,0),MATCH($Q47,'Control - Alt'!$C$32:$O$32,0)),
IFERROR(INDEX(Stockpile!$C$10:$M$26,MATCH(D$97,Stockpile!$B$10:$B$26,0),MATCH($Q47,Stockpile!$C$30:$M$30,0)),
IFERROR(INDEX('Asphalt Silo &amp; Unloading'!$D$10:$M$44,MATCH(D$97,'Asphalt Silo &amp; Unloading'!$B$10:$B$44,0),MATCH($Q47,'Asphalt Silo &amp; Unloading'!$D$49:$M$49,0)),""))))))</f>
        <v/>
      </c>
      <c r="E47" s="620" t="str">
        <f>IFERROR(INDEX('Material Handling'!$C$10:$AH$33,MATCH(E$97,Material_Handling[Data],0),MATCH($Q47,'Material Handling'!$C$40:$AH$40,0)), IFERROR(INDEX('Drop Point'!$B$13:$M$36,MATCH(E$97,'Drop Point'!$B$13:$B$37,0),MATCH($Q47,'Drop Point'!$B$41:$M$41,0)),
IFERROR(INDEX('Control - Grain dscf'!$C$11:$N$27,MATCH(E$97,'Control - Grain dscf'!$B$11:$B$27,0),MATCH($Q47,'Control - Grain dscf'!$C$32:$N$32,0)),
IFERROR(INDEX('Control - Alt'!$C$9:$O$27,MATCH(E$97,'Control - Alt'!$B$9:$B$27,0),MATCH($Q47,'Control - Alt'!$C$32:$O$32,0)),
IFERROR(INDEX(Stockpile!$C$10:$M$26,MATCH(E$97,Stockpile!$B$10:$B$26,0),MATCH($Q47,Stockpile!$C$30:$M$30,0)),
IFERROR(INDEX('Asphalt Silo &amp; Unloading'!$D$10:$M$44,MATCH(E$97,'Asphalt Silo &amp; Unloading'!$B$10:$B$44,0),MATCH($Q47,'Asphalt Silo &amp; Unloading'!$D$49:$M$49,0)),""))))))</f>
        <v/>
      </c>
      <c r="F47" s="590" t="str">
        <f>IFERROR(INDEX('Material Handling'!$C$10:$AH$33,MATCH(F$97,Material_Handling[Data],0),MATCH($Q47,'Material Handling'!$C$40:$AH$40,0)), IFERROR(INDEX('Drop Point'!$B$13:$M$36,MATCH(F$97,'Drop Point'!$B$13:$B$37,0),MATCH($Q47,'Drop Point'!$B$41:$M$41,0)),
IFERROR(INDEX('Control - Grain dscf'!$C$11:$N$27,MATCH(F$97,'Control - Grain dscf'!$B$11:$B$27,0),MATCH($Q47,'Control - Grain dscf'!$C$32:$N$32,0)),
IFERROR(INDEX('Control - Alt'!$C$9:$O$27,MATCH(F$97,'Control - Alt'!$B$9:$B$27,0),MATCH($Q47,'Control - Alt'!$C$32:$O$32,0)),
IFERROR(INDEX(Stockpile!$C$10:$M$26,MATCH(F$97,Stockpile!$B$10:$B$26,0),MATCH($Q47,Stockpile!$C$30:$M$30,0)),
IFERROR(INDEX('Asphalt Silo &amp; Unloading'!$D$10:$M$44,MATCH(F$97,'Asphalt Silo &amp; Unloading'!$B$10:$B$44,0),MATCH($Q47,'Asphalt Silo &amp; Unloading'!$D$49:$M$49,0)),""))))))</f>
        <v/>
      </c>
      <c r="G47" s="590" t="str">
        <f>IFERROR(INDEX('Material Handling'!$C$10:$AH$33,MATCH(G$97,Material_Handling[Data],0),MATCH($Q47,'Material Handling'!$C$40:$AH$40,0)), IFERROR(INDEX('Drop Point'!$B$13:$M$36,MATCH(G$97,'Drop Point'!$B$13:$B$37,0),MATCH($Q47,'Drop Point'!$B$41:$M$41,0)),
IFERROR(INDEX('Control - Grain dscf'!$C$11:$N$27,MATCH(G$97,'Control - Grain dscf'!$B$11:$B$27,0),MATCH($Q47,'Control - Grain dscf'!$C$32:$N$32,0)),
IFERROR(INDEX('Control - Alt'!$C$9:$O$27,MATCH(G$97,'Control - Alt'!$B$9:$B$27,0),MATCH($Q47,'Control - Alt'!$C$32:$O$32,0)),
IFERROR(INDEX(Stockpile!$C$10:$M$26,MATCH(G$97,Stockpile!$B$10:$B$26,0),MATCH($Q47,Stockpile!$C$30:$M$30,0)),
IFERROR(INDEX('Asphalt Silo &amp; Unloading'!$D$10:$M$44,MATCH(G$97,'Asphalt Silo &amp; Unloading'!$B$10:$B$44,0),MATCH($Q47,'Asphalt Silo &amp; Unloading'!$D$49:$M$49,0)),""))))))</f>
        <v/>
      </c>
      <c r="H47" s="590" t="str">
        <f>IFERROR(INDEX('Material Handling'!$C$10:$AH$33,MATCH(H$97,Material_Handling[Data],0),MATCH($Q47,'Material Handling'!$C$40:$AH$40,0)), IFERROR(INDEX('Drop Point'!$B$13:$M$36,MATCH(H$97,'Drop Point'!$B$13:$B$37,0),MATCH($Q47,'Drop Point'!$B$41:$M$41,0)),
IFERROR(INDEX('Control - Grain dscf'!$C$11:$N$27,MATCH(H$97,'Control - Grain dscf'!$B$11:$B$27,0),MATCH($Q47,'Control - Grain dscf'!$C$32:$N$32,0)),
IFERROR(INDEX('Control - Alt'!$C$9:$O$27,MATCH(H$97,'Control - Alt'!$B$9:$B$27,0),MATCH($Q47,'Control - Alt'!$C$32:$O$32,0)),
IFERROR(INDEX(Stockpile!$C$10:$M$26,MATCH(H$97,Stockpile!$B$10:$B$26,0),MATCH($Q47,Stockpile!$C$30:$M$30,0)),
IFERROR(INDEX('Asphalt Silo &amp; Unloading'!$D$10:$M$44,MATCH(H$97,'Asphalt Silo &amp; Unloading'!$B$10:$B$44,0),MATCH($Q47,'Asphalt Silo &amp; Unloading'!$D$49:$M$49,0)),""))))))</f>
        <v/>
      </c>
      <c r="I47" s="590" t="str">
        <f>IFERROR(INDEX('Material Handling'!$C$10:$AH$33,MATCH(I$97,Material_Handling[Data],0),MATCH($Q47,'Material Handling'!$C$40:$AH$40,0)), IFERROR(INDEX('Drop Point'!$B$13:$M$36,MATCH(I$97,'Drop Point'!$B$13:$B$37,0),MATCH($Q47,'Drop Point'!$B$41:$M$41,0)),
IFERROR(INDEX('Control - Grain dscf'!$C$11:$N$27,MATCH(I$97,'Control - Grain dscf'!$B$11:$B$27,0),MATCH($Q47,'Control - Grain dscf'!$C$32:$N$32,0)),
IFERROR(INDEX('Control - Alt'!$C$9:$O$27,MATCH(I$97,'Control - Alt'!$B$9:$B$27,0),MATCH($Q47,'Control - Alt'!$C$32:$O$32,0)),
IFERROR(INDEX(Stockpile!$C$10:$M$26,MATCH(I$97,Stockpile!$B$10:$B$26,0),MATCH($Q47,Stockpile!$C$30:$M$30,0)),
IFERROR(INDEX('Asphalt Silo &amp; Unloading'!$D$10:$M$44,MATCH(I$97,'Asphalt Silo &amp; Unloading'!$B$10:$B$44,0),MATCH($Q47,'Asphalt Silo &amp; Unloading'!$D$49:$M$49,0)),""))))))</f>
        <v/>
      </c>
      <c r="J47" s="590" t="str">
        <f>IFERROR(INDEX('Material Handling'!$C$10:$AH$33,MATCH(J$97,Material_Handling[Data],0),MATCH($Q47,'Material Handling'!$C$40:$AH$40,0)), IFERROR(INDEX('Drop Point'!$B$13:$M$36,MATCH(J$97,'Drop Point'!$B$13:$B$37,0),MATCH($Q47,'Drop Point'!$B$41:$M$41,0)),
IFERROR(INDEX('Control - Grain dscf'!$C$11:$N$27,MATCH(J$97,'Control - Grain dscf'!$B$11:$B$27,0),MATCH($Q47,'Control - Grain dscf'!$C$32:$N$32,0)),
IFERROR(INDEX('Control - Alt'!$C$9:$O$27,MATCH(J$97,'Control - Alt'!$B$9:$B$27,0),MATCH($Q47,'Control - Alt'!$C$32:$O$32,0)),
IFERROR(INDEX(Stockpile!$C$10:$M$26,MATCH(J$97,Stockpile!$B$10:$B$26,0),MATCH($Q47,Stockpile!$C$30:$M$30,0)),
IFERROR(INDEX('Asphalt Silo &amp; Unloading'!$D$10:$M$44,MATCH(J$97,'Asphalt Silo &amp; Unloading'!$B$10:$B$44,0),MATCH($Q47,'Asphalt Silo &amp; Unloading'!$D$49:$M$49,0)),""))))))</f>
        <v/>
      </c>
      <c r="K47" s="590" t="str">
        <f>IFERROR(INDEX('Material Handling'!$C$10:$AH$33,MATCH(K$97,Material_Handling[Data],0),MATCH($Q47,'Material Handling'!$C$40:$AH$40,0)), IFERROR(INDEX('Drop Point'!$B$13:$M$36,MATCH(K$97,'Drop Point'!$B$13:$B$37,0),MATCH($Q47,'Drop Point'!$B$41:$M$41,0)),
IFERROR(INDEX('Control - Grain dscf'!$C$11:$N$27,MATCH(K$97,'Control - Grain dscf'!$B$11:$B$27,0),MATCH($Q47,'Control - Grain dscf'!$C$32:$N$32,0)),
IFERROR(INDEX('Control - Alt'!$C$9:$O$27,MATCH(K$97,'Control - Alt'!$B$9:$B$27,0),MATCH($Q47,'Control - Alt'!$C$32:$O$32,0)),
IFERROR(INDEX(Stockpile!$C$10:$M$26,MATCH(K$97,Stockpile!$B$10:$B$26,0),MATCH($Q47,Stockpile!$C$30:$M$30,0)),
IFERROR(INDEX('Asphalt Silo &amp; Unloading'!$D$10:$M$44,MATCH(K$97,'Asphalt Silo &amp; Unloading'!$B$10:$B$44,0),MATCH($Q47,'Asphalt Silo &amp; Unloading'!$D$49:$M$49,0)),""))))))</f>
        <v/>
      </c>
      <c r="L47" s="590" t="str">
        <f>IFERROR(INDEX('Material Handling'!$C$10:$AH$33,MATCH(L$97,Material_Handling[Data],0),MATCH($Q47,'Material Handling'!$C$40:$AH$40,0)), IFERROR(INDEX('Drop Point'!$B$13:$M$36,MATCH(L$97,'Drop Point'!$B$13:$B$37,0),MATCH($Q47,'Drop Point'!$B$41:$M$41,0)),
IFERROR(INDEX('Control - Grain dscf'!$C$11:$N$27,MATCH(L$97,'Control - Grain dscf'!$B$11:$B$27,0),MATCH($Q47,'Control - Grain dscf'!$C$32:$N$32,0)),
IFERROR(INDEX('Control - Alt'!$C$9:$O$27,MATCH(L$97,'Control - Alt'!$B$9:$B$27,0),MATCH($Q47,'Control - Alt'!$C$32:$O$32,0)),
IFERROR(INDEX(Stockpile!$C$10:$M$26,MATCH(L$97,Stockpile!$B$10:$B$26,0),MATCH($Q47,Stockpile!$C$30:$M$30,0)),
IFERROR(INDEX('Asphalt Silo &amp; Unloading'!$D$10:$M$44,MATCH(L$97,'Asphalt Silo &amp; Unloading'!$B$10:$B$44,0),MATCH($Q47,'Asphalt Silo &amp; Unloading'!$D$49:$M$49,0)),""))))))</f>
        <v/>
      </c>
      <c r="M47" s="590" t="str">
        <f>IFERROR(INDEX('Material Handling'!$C$10:$AH$33,MATCH(M$97,Material_Handling[Data],0),MATCH($Q47,'Material Handling'!$C$40:$AH$40,0)), IFERROR(INDEX('Drop Point'!$B$13:$M$36,MATCH(M$97,'Drop Point'!$B$13:$B$37,0),MATCH($Q47,'Drop Point'!$B$41:$M$41,0)),
IFERROR(INDEX('Control - Grain dscf'!$C$11:$N$27,MATCH(M$97,'Control - Grain dscf'!$B$11:$B$27,0),MATCH($Q47,'Control - Grain dscf'!$C$32:$N$32,0)),
IFERROR(INDEX('Control - Alt'!$C$9:$O$27,MATCH(M$97,'Control - Alt'!$B$9:$B$27,0),MATCH($Q47,'Control - Alt'!$C$32:$O$32,0)),
IFERROR(INDEX(Stockpile!$C$10:$M$26,MATCH(M$97,Stockpile!$B$10:$B$26,0),MATCH($Q47,Stockpile!$C$30:$M$30,0)),
IFERROR(INDEX('Asphalt Silo &amp; Unloading'!$D$10:$M$44,MATCH(M$97,'Asphalt Silo &amp; Unloading'!$B$10:$B$44,0),MATCH($Q47,'Asphalt Silo &amp; Unloading'!$D$49:$M$49,0)),""))))))</f>
        <v/>
      </c>
      <c r="N47" s="590" t="str">
        <f>IFERROR(INDEX('Material Handling'!$C$10:$AH$33,MATCH(N$97,Material_Handling[Data],0),MATCH($Q47,'Material Handling'!$C$40:$AH$40,0)), IFERROR(INDEX('Drop Point'!$B$13:$M$36,MATCH(N$97,'Drop Point'!$B$13:$B$37,0),MATCH($Q47,'Drop Point'!$B$41:$M$41,0)),
IFERROR(INDEX('Control - Grain dscf'!$C$11:$N$27,MATCH(N$97,'Control - Grain dscf'!$B$11:$B$27,0),MATCH($Q47,'Control - Grain dscf'!$C$32:$N$32,0)),
IFERROR(INDEX('Control - Alt'!$C$9:$O$27,MATCH(N$97,'Control - Alt'!$B$9:$B$27,0),MATCH($Q47,'Control - Alt'!$C$32:$O$32,0)),
IFERROR(INDEX(Stockpile!$C$10:$M$26,MATCH(N$97,Stockpile!$B$10:$B$26,0),MATCH($Q47,Stockpile!$C$30:$M$30,0)),
IFERROR(INDEX('Asphalt Silo &amp; Unloading'!$D$10:$M$44,MATCH(N$97,'Asphalt Silo &amp; Unloading'!$B$10:$B$44,0),MATCH($Q47,'Asphalt Silo &amp; Unloading'!$D$49:$M$49,0)),""))))))</f>
        <v/>
      </c>
      <c r="O47" s="591" t="str">
        <f>IFERROR(INDEX('Material Handling'!$C$10:$AH$33,MATCH(O$97,Material_Handling[Data],0),MATCH($Q47,'Material Handling'!$C$40:$AH$40,0)), IFERROR(INDEX('Drop Point'!$B$13:$M$36,MATCH(O$97,'Drop Point'!$B$13:$B$37,0),MATCH($Q47,'Drop Point'!$B$41:$M$41,0)),
IFERROR(INDEX('Control - Grain dscf'!$C$11:$N$27,MATCH(O$97,'Control - Grain dscf'!$B$11:$B$27,0),MATCH($Q47,'Control - Grain dscf'!$C$32:$N$32,0)),
IFERROR(INDEX('Control - Alt'!$C$9:$O$27,MATCH(O$97,'Control - Alt'!$B$9:$B$27,0),MATCH($Q47,'Control - Alt'!$C$32:$O$32,0)),
IFERROR(INDEX(Stockpile!$C$10:$M$26,MATCH(O$97,Stockpile!$B$10:$B$26,0),MATCH($Q47,Stockpile!$C$30:$M$30,0)),
IFERROR(INDEX('Asphalt Silo &amp; Unloading'!$D$10:$M$44,MATCH(O$97,'Asphalt Silo &amp; Unloading'!$B$10:$B$44,0),MATCH($Q47,'Asphalt Silo &amp; Unloading'!$D$49:$M$49,0)),""))))))</f>
        <v/>
      </c>
      <c r="Q47" s="131">
        <f t="shared" si="1"/>
        <v>39</v>
      </c>
    </row>
    <row r="48" spans="1:17" ht="20.100000000000001" customHeight="1">
      <c r="A48" s="293" t="str">
        <f>IFERROR(INDEX('Material Handling'!$C$10:$AH$33,MATCH(A$97,Material_Handling[Data],0),MATCH($Q48,'Material Handling'!$C$40:$AH$40,0)), IFERROR(INDEX('Drop Point'!$B$13:$M$36,MATCH(A$97,'Drop Point'!$B$13:$B$37,0),MATCH($Q48,'Drop Point'!$B$41:$M$41,0)),
IFERROR(INDEX('Control - Grain dscf'!$C$11:$N$27,MATCH(A$97,'Control - Grain dscf'!$B$11:$B$27,0),MATCH($Q48,'Control - Grain dscf'!$C$32:$N$32,0)),
IFERROR(INDEX('Control - Alt'!$C$9:$O$27,MATCH(A$97,'Control - Alt'!$B$9:$B$27,0),MATCH($Q48,'Control - Alt'!$C$32:$O$32,0)),
IFERROR(INDEX(Stockpile!$C$10:$M$26,MATCH(A$97,Stockpile!$B$10:$B$26,0),MATCH($Q48,Stockpile!$C$30:$M$30,0)),
IFERROR(INDEX('Asphalt Silo &amp; Unloading'!$D$10:$M$44,MATCH(A$97,'Asphalt Silo &amp; Unloading'!$B$10:$B$44,0),MATCH($Q48,'Asphalt Silo &amp; Unloading'!$D$49:$M$49,0)),""))))))</f>
        <v/>
      </c>
      <c r="B48" s="135" t="str">
        <f>IFERROR(INDEX('Material Handling'!$C$10:$AH$33,MATCH(B$97,Material_Handling[Data],0),MATCH($Q48,'Material Handling'!$C$40:$AH$40,0)), IFERROR(INDEX('Drop Point'!$B$13:$M$36,MATCH(B$97,'Drop Point'!$B$13:$B$37,0),MATCH($Q48,'Drop Point'!$B$41:$M$41,0)),
IFERROR(INDEX('Control - Grain dscf'!$C$11:$N$27,MATCH(B$97,'Control - Grain dscf'!$B$11:$B$27,0),MATCH($Q48,'Control - Grain dscf'!$C$32:$N$32,0)),
IFERROR(INDEX('Control - Alt'!$C$9:$O$27,MATCH(B$97,'Control - Alt'!$B$9:$B$27,0),MATCH($Q48,'Control - Alt'!$C$32:$O$32,0)),
IFERROR(INDEX(Stockpile!$C$10:$M$26,MATCH(B$97,Stockpile!$B$10:$B$26,0),MATCH($Q48,Stockpile!$C$30:$M$30,0)),
IFERROR(INDEX('Asphalt Silo &amp; Unloading'!$D$10:$M$44,MATCH(B$97,'Asphalt Silo &amp; Unloading'!$B$10:$B$44,0),MATCH($Q48,'Asphalt Silo &amp; Unloading'!$D$49:$M$49,0)),""))))))</f>
        <v/>
      </c>
      <c r="C48" s="135" t="str">
        <f>IFERROR(INDEX('Material Handling'!$C$10:$AH$33,MATCH(C$97,Material_Handling[Data],0),MATCH($Q48,'Material Handling'!$C$40:$AH$40,0)), IFERROR(INDEX('Drop Point'!$B$13:$M$36,MATCH(C$97,'Drop Point'!$B$13:$B$37,0),MATCH($Q48,'Drop Point'!$B$41:$M$41,0)),
IFERROR(INDEX('Control - Grain dscf'!$C$11:$N$27,MATCH(C$97,'Control - Grain dscf'!$B$11:$B$27,0),MATCH($Q48,'Control - Grain dscf'!$C$32:$N$32,0)),
IFERROR(INDEX('Control - Alt'!$C$9:$O$27,MATCH(C$97,'Control - Alt'!$B$9:$B$27,0),MATCH($Q48,'Control - Alt'!$C$32:$O$32,0)),
IFERROR(INDEX(Stockpile!$C$10:$M$26,MATCH(C$97,Stockpile!$B$10:$B$26,0),MATCH($Q48,Stockpile!$C$30:$M$30,0)),
IFERROR(INDEX('Asphalt Silo &amp; Unloading'!$D$10:$M$44,MATCH(C$97,'Asphalt Silo &amp; Unloading'!$B$10:$B$44,0),MATCH($Q48,'Asphalt Silo &amp; Unloading'!$D$49:$M$49,0)),""))))))</f>
        <v/>
      </c>
      <c r="D48" s="135" t="str">
        <f>IFERROR(INDEX('Material Handling'!$C$10:$AH$33,MATCH(D$97,Material_Handling[Data],0),MATCH($Q48,'Material Handling'!$C$40:$AH$40,0)), IFERROR(INDEX('Drop Point'!$B$13:$M$36,MATCH(D$97,'Drop Point'!$B$13:$B$37,0),MATCH($Q48,'Drop Point'!$B$41:$M$41,0)),
IFERROR(INDEX('Control - Grain dscf'!$C$11:$N$27,MATCH(D$97,'Control - Grain dscf'!$B$11:$B$27,0),MATCH($Q48,'Control - Grain dscf'!$C$32:$N$32,0)),
IFERROR(INDEX('Control - Alt'!$C$9:$O$27,MATCH(D$97,'Control - Alt'!$B$9:$B$27,0),MATCH($Q48,'Control - Alt'!$C$32:$O$32,0)),
IFERROR(INDEX(Stockpile!$C$10:$M$26,MATCH(D$97,Stockpile!$B$10:$B$26,0),MATCH($Q48,Stockpile!$C$30:$M$30,0)),
IFERROR(INDEX('Asphalt Silo &amp; Unloading'!$D$10:$M$44,MATCH(D$97,'Asphalt Silo &amp; Unloading'!$B$10:$B$44,0),MATCH($Q48,'Asphalt Silo &amp; Unloading'!$D$49:$M$49,0)),""))))))</f>
        <v/>
      </c>
      <c r="E48" s="620" t="str">
        <f>IFERROR(INDEX('Material Handling'!$C$10:$AH$33,MATCH(E$97,Material_Handling[Data],0),MATCH($Q48,'Material Handling'!$C$40:$AH$40,0)), IFERROR(INDEX('Drop Point'!$B$13:$M$36,MATCH(E$97,'Drop Point'!$B$13:$B$37,0),MATCH($Q48,'Drop Point'!$B$41:$M$41,0)),
IFERROR(INDEX('Control - Grain dscf'!$C$11:$N$27,MATCH(E$97,'Control - Grain dscf'!$B$11:$B$27,0),MATCH($Q48,'Control - Grain dscf'!$C$32:$N$32,0)),
IFERROR(INDEX('Control - Alt'!$C$9:$O$27,MATCH(E$97,'Control - Alt'!$B$9:$B$27,0),MATCH($Q48,'Control - Alt'!$C$32:$O$32,0)),
IFERROR(INDEX(Stockpile!$C$10:$M$26,MATCH(E$97,Stockpile!$B$10:$B$26,0),MATCH($Q48,Stockpile!$C$30:$M$30,0)),
IFERROR(INDEX('Asphalt Silo &amp; Unloading'!$D$10:$M$44,MATCH(E$97,'Asphalt Silo &amp; Unloading'!$B$10:$B$44,0),MATCH($Q48,'Asphalt Silo &amp; Unloading'!$D$49:$M$49,0)),""))))))</f>
        <v/>
      </c>
      <c r="F48" s="590" t="str">
        <f>IFERROR(INDEX('Material Handling'!$C$10:$AH$33,MATCH(F$97,Material_Handling[Data],0),MATCH($Q48,'Material Handling'!$C$40:$AH$40,0)), IFERROR(INDEX('Drop Point'!$B$13:$M$36,MATCH(F$97,'Drop Point'!$B$13:$B$37,0),MATCH($Q48,'Drop Point'!$B$41:$M$41,0)),
IFERROR(INDEX('Control - Grain dscf'!$C$11:$N$27,MATCH(F$97,'Control - Grain dscf'!$B$11:$B$27,0),MATCH($Q48,'Control - Grain dscf'!$C$32:$N$32,0)),
IFERROR(INDEX('Control - Alt'!$C$9:$O$27,MATCH(F$97,'Control - Alt'!$B$9:$B$27,0),MATCH($Q48,'Control - Alt'!$C$32:$O$32,0)),
IFERROR(INDEX(Stockpile!$C$10:$M$26,MATCH(F$97,Stockpile!$B$10:$B$26,0),MATCH($Q48,Stockpile!$C$30:$M$30,0)),
IFERROR(INDEX('Asphalt Silo &amp; Unloading'!$D$10:$M$44,MATCH(F$97,'Asphalt Silo &amp; Unloading'!$B$10:$B$44,0),MATCH($Q48,'Asphalt Silo &amp; Unloading'!$D$49:$M$49,0)),""))))))</f>
        <v/>
      </c>
      <c r="G48" s="590" t="str">
        <f>IFERROR(INDEX('Material Handling'!$C$10:$AH$33,MATCH(G$97,Material_Handling[Data],0),MATCH($Q48,'Material Handling'!$C$40:$AH$40,0)), IFERROR(INDEX('Drop Point'!$B$13:$M$36,MATCH(G$97,'Drop Point'!$B$13:$B$37,0),MATCH($Q48,'Drop Point'!$B$41:$M$41,0)),
IFERROR(INDEX('Control - Grain dscf'!$C$11:$N$27,MATCH(G$97,'Control - Grain dscf'!$B$11:$B$27,0),MATCH($Q48,'Control - Grain dscf'!$C$32:$N$32,0)),
IFERROR(INDEX('Control - Alt'!$C$9:$O$27,MATCH(G$97,'Control - Alt'!$B$9:$B$27,0),MATCH($Q48,'Control - Alt'!$C$32:$O$32,0)),
IFERROR(INDEX(Stockpile!$C$10:$M$26,MATCH(G$97,Stockpile!$B$10:$B$26,0),MATCH($Q48,Stockpile!$C$30:$M$30,0)),
IFERROR(INDEX('Asphalt Silo &amp; Unloading'!$D$10:$M$44,MATCH(G$97,'Asphalt Silo &amp; Unloading'!$B$10:$B$44,0),MATCH($Q48,'Asphalt Silo &amp; Unloading'!$D$49:$M$49,0)),""))))))</f>
        <v/>
      </c>
      <c r="H48" s="590" t="str">
        <f>IFERROR(INDEX('Material Handling'!$C$10:$AH$33,MATCH(H$97,Material_Handling[Data],0),MATCH($Q48,'Material Handling'!$C$40:$AH$40,0)), IFERROR(INDEX('Drop Point'!$B$13:$M$36,MATCH(H$97,'Drop Point'!$B$13:$B$37,0),MATCH($Q48,'Drop Point'!$B$41:$M$41,0)),
IFERROR(INDEX('Control - Grain dscf'!$C$11:$N$27,MATCH(H$97,'Control - Grain dscf'!$B$11:$B$27,0),MATCH($Q48,'Control - Grain dscf'!$C$32:$N$32,0)),
IFERROR(INDEX('Control - Alt'!$C$9:$O$27,MATCH(H$97,'Control - Alt'!$B$9:$B$27,0),MATCH($Q48,'Control - Alt'!$C$32:$O$32,0)),
IFERROR(INDEX(Stockpile!$C$10:$M$26,MATCH(H$97,Stockpile!$B$10:$B$26,0),MATCH($Q48,Stockpile!$C$30:$M$30,0)),
IFERROR(INDEX('Asphalt Silo &amp; Unloading'!$D$10:$M$44,MATCH(H$97,'Asphalt Silo &amp; Unloading'!$B$10:$B$44,0),MATCH($Q48,'Asphalt Silo &amp; Unloading'!$D$49:$M$49,0)),""))))))</f>
        <v/>
      </c>
      <c r="I48" s="590" t="str">
        <f>IFERROR(INDEX('Material Handling'!$C$10:$AH$33,MATCH(I$97,Material_Handling[Data],0),MATCH($Q48,'Material Handling'!$C$40:$AH$40,0)), IFERROR(INDEX('Drop Point'!$B$13:$M$36,MATCH(I$97,'Drop Point'!$B$13:$B$37,0),MATCH($Q48,'Drop Point'!$B$41:$M$41,0)),
IFERROR(INDEX('Control - Grain dscf'!$C$11:$N$27,MATCH(I$97,'Control - Grain dscf'!$B$11:$B$27,0),MATCH($Q48,'Control - Grain dscf'!$C$32:$N$32,0)),
IFERROR(INDEX('Control - Alt'!$C$9:$O$27,MATCH(I$97,'Control - Alt'!$B$9:$B$27,0),MATCH($Q48,'Control - Alt'!$C$32:$O$32,0)),
IFERROR(INDEX(Stockpile!$C$10:$M$26,MATCH(I$97,Stockpile!$B$10:$B$26,0),MATCH($Q48,Stockpile!$C$30:$M$30,0)),
IFERROR(INDEX('Asphalt Silo &amp; Unloading'!$D$10:$M$44,MATCH(I$97,'Asphalt Silo &amp; Unloading'!$B$10:$B$44,0),MATCH($Q48,'Asphalt Silo &amp; Unloading'!$D$49:$M$49,0)),""))))))</f>
        <v/>
      </c>
      <c r="J48" s="590" t="str">
        <f>IFERROR(INDEX('Material Handling'!$C$10:$AH$33,MATCH(J$97,Material_Handling[Data],0),MATCH($Q48,'Material Handling'!$C$40:$AH$40,0)), IFERROR(INDEX('Drop Point'!$B$13:$M$36,MATCH(J$97,'Drop Point'!$B$13:$B$37,0),MATCH($Q48,'Drop Point'!$B$41:$M$41,0)),
IFERROR(INDEX('Control - Grain dscf'!$C$11:$N$27,MATCH(J$97,'Control - Grain dscf'!$B$11:$B$27,0),MATCH($Q48,'Control - Grain dscf'!$C$32:$N$32,0)),
IFERROR(INDEX('Control - Alt'!$C$9:$O$27,MATCH(J$97,'Control - Alt'!$B$9:$B$27,0),MATCH($Q48,'Control - Alt'!$C$32:$O$32,0)),
IFERROR(INDEX(Stockpile!$C$10:$M$26,MATCH(J$97,Stockpile!$B$10:$B$26,0),MATCH($Q48,Stockpile!$C$30:$M$30,0)),
IFERROR(INDEX('Asphalt Silo &amp; Unloading'!$D$10:$M$44,MATCH(J$97,'Asphalt Silo &amp; Unloading'!$B$10:$B$44,0),MATCH($Q48,'Asphalt Silo &amp; Unloading'!$D$49:$M$49,0)),""))))))</f>
        <v/>
      </c>
      <c r="K48" s="590" t="str">
        <f>IFERROR(INDEX('Material Handling'!$C$10:$AH$33,MATCH(K$97,Material_Handling[Data],0),MATCH($Q48,'Material Handling'!$C$40:$AH$40,0)), IFERROR(INDEX('Drop Point'!$B$13:$M$36,MATCH(K$97,'Drop Point'!$B$13:$B$37,0),MATCH($Q48,'Drop Point'!$B$41:$M$41,0)),
IFERROR(INDEX('Control - Grain dscf'!$C$11:$N$27,MATCH(K$97,'Control - Grain dscf'!$B$11:$B$27,0),MATCH($Q48,'Control - Grain dscf'!$C$32:$N$32,0)),
IFERROR(INDEX('Control - Alt'!$C$9:$O$27,MATCH(K$97,'Control - Alt'!$B$9:$B$27,0),MATCH($Q48,'Control - Alt'!$C$32:$O$32,0)),
IFERROR(INDEX(Stockpile!$C$10:$M$26,MATCH(K$97,Stockpile!$B$10:$B$26,0),MATCH($Q48,Stockpile!$C$30:$M$30,0)),
IFERROR(INDEX('Asphalt Silo &amp; Unloading'!$D$10:$M$44,MATCH(K$97,'Asphalt Silo &amp; Unloading'!$B$10:$B$44,0),MATCH($Q48,'Asphalt Silo &amp; Unloading'!$D$49:$M$49,0)),""))))))</f>
        <v/>
      </c>
      <c r="L48" s="590" t="str">
        <f>IFERROR(INDEX('Material Handling'!$C$10:$AH$33,MATCH(L$97,Material_Handling[Data],0),MATCH($Q48,'Material Handling'!$C$40:$AH$40,0)), IFERROR(INDEX('Drop Point'!$B$13:$M$36,MATCH(L$97,'Drop Point'!$B$13:$B$37,0),MATCH($Q48,'Drop Point'!$B$41:$M$41,0)),
IFERROR(INDEX('Control - Grain dscf'!$C$11:$N$27,MATCH(L$97,'Control - Grain dscf'!$B$11:$B$27,0),MATCH($Q48,'Control - Grain dscf'!$C$32:$N$32,0)),
IFERROR(INDEX('Control - Alt'!$C$9:$O$27,MATCH(L$97,'Control - Alt'!$B$9:$B$27,0),MATCH($Q48,'Control - Alt'!$C$32:$O$32,0)),
IFERROR(INDEX(Stockpile!$C$10:$M$26,MATCH(L$97,Stockpile!$B$10:$B$26,0),MATCH($Q48,Stockpile!$C$30:$M$30,0)),
IFERROR(INDEX('Asphalt Silo &amp; Unloading'!$D$10:$M$44,MATCH(L$97,'Asphalt Silo &amp; Unloading'!$B$10:$B$44,0),MATCH($Q48,'Asphalt Silo &amp; Unloading'!$D$49:$M$49,0)),""))))))</f>
        <v/>
      </c>
      <c r="M48" s="590" t="str">
        <f>IFERROR(INDEX('Material Handling'!$C$10:$AH$33,MATCH(M$97,Material_Handling[Data],0),MATCH($Q48,'Material Handling'!$C$40:$AH$40,0)), IFERROR(INDEX('Drop Point'!$B$13:$M$36,MATCH(M$97,'Drop Point'!$B$13:$B$37,0),MATCH($Q48,'Drop Point'!$B$41:$M$41,0)),
IFERROR(INDEX('Control - Grain dscf'!$C$11:$N$27,MATCH(M$97,'Control - Grain dscf'!$B$11:$B$27,0),MATCH($Q48,'Control - Grain dscf'!$C$32:$N$32,0)),
IFERROR(INDEX('Control - Alt'!$C$9:$O$27,MATCH(M$97,'Control - Alt'!$B$9:$B$27,0),MATCH($Q48,'Control - Alt'!$C$32:$O$32,0)),
IFERROR(INDEX(Stockpile!$C$10:$M$26,MATCH(M$97,Stockpile!$B$10:$B$26,0),MATCH($Q48,Stockpile!$C$30:$M$30,0)),
IFERROR(INDEX('Asphalt Silo &amp; Unloading'!$D$10:$M$44,MATCH(M$97,'Asphalt Silo &amp; Unloading'!$B$10:$B$44,0),MATCH($Q48,'Asphalt Silo &amp; Unloading'!$D$49:$M$49,0)),""))))))</f>
        <v/>
      </c>
      <c r="N48" s="590" t="str">
        <f>IFERROR(INDEX('Material Handling'!$C$10:$AH$33,MATCH(N$97,Material_Handling[Data],0),MATCH($Q48,'Material Handling'!$C$40:$AH$40,0)), IFERROR(INDEX('Drop Point'!$B$13:$M$36,MATCH(N$97,'Drop Point'!$B$13:$B$37,0),MATCH($Q48,'Drop Point'!$B$41:$M$41,0)),
IFERROR(INDEX('Control - Grain dscf'!$C$11:$N$27,MATCH(N$97,'Control - Grain dscf'!$B$11:$B$27,0),MATCH($Q48,'Control - Grain dscf'!$C$32:$N$32,0)),
IFERROR(INDEX('Control - Alt'!$C$9:$O$27,MATCH(N$97,'Control - Alt'!$B$9:$B$27,0),MATCH($Q48,'Control - Alt'!$C$32:$O$32,0)),
IFERROR(INDEX(Stockpile!$C$10:$M$26,MATCH(N$97,Stockpile!$B$10:$B$26,0),MATCH($Q48,Stockpile!$C$30:$M$30,0)),
IFERROR(INDEX('Asphalt Silo &amp; Unloading'!$D$10:$M$44,MATCH(N$97,'Asphalt Silo &amp; Unloading'!$B$10:$B$44,0),MATCH($Q48,'Asphalt Silo &amp; Unloading'!$D$49:$M$49,0)),""))))))</f>
        <v/>
      </c>
      <c r="O48" s="591" t="str">
        <f>IFERROR(INDEX('Material Handling'!$C$10:$AH$33,MATCH(O$97,Material_Handling[Data],0),MATCH($Q48,'Material Handling'!$C$40:$AH$40,0)), IFERROR(INDEX('Drop Point'!$B$13:$M$36,MATCH(O$97,'Drop Point'!$B$13:$B$37,0),MATCH($Q48,'Drop Point'!$B$41:$M$41,0)),
IFERROR(INDEX('Control - Grain dscf'!$C$11:$N$27,MATCH(O$97,'Control - Grain dscf'!$B$11:$B$27,0),MATCH($Q48,'Control - Grain dscf'!$C$32:$N$32,0)),
IFERROR(INDEX('Control - Alt'!$C$9:$O$27,MATCH(O$97,'Control - Alt'!$B$9:$B$27,0),MATCH($Q48,'Control - Alt'!$C$32:$O$32,0)),
IFERROR(INDEX(Stockpile!$C$10:$M$26,MATCH(O$97,Stockpile!$B$10:$B$26,0),MATCH($Q48,Stockpile!$C$30:$M$30,0)),
IFERROR(INDEX('Asphalt Silo &amp; Unloading'!$D$10:$M$44,MATCH(O$97,'Asphalt Silo &amp; Unloading'!$B$10:$B$44,0),MATCH($Q48,'Asphalt Silo &amp; Unloading'!$D$49:$M$49,0)),""))))))</f>
        <v/>
      </c>
      <c r="Q48" s="131">
        <f t="shared" si="1"/>
        <v>40</v>
      </c>
    </row>
    <row r="49" spans="1:17" ht="20.100000000000001" customHeight="1">
      <c r="A49" s="293" t="str">
        <f>IFERROR(INDEX('Material Handling'!$C$10:$AH$33,MATCH(A$97,Material_Handling[Data],0),MATCH($Q49,'Material Handling'!$C$40:$AH$40,0)), IFERROR(INDEX('Drop Point'!$B$13:$M$36,MATCH(A$97,'Drop Point'!$B$13:$B$37,0),MATCH($Q49,'Drop Point'!$B$41:$M$41,0)),
IFERROR(INDEX('Control - Grain dscf'!$C$11:$N$27,MATCH(A$97,'Control - Grain dscf'!$B$11:$B$27,0),MATCH($Q49,'Control - Grain dscf'!$C$32:$N$32,0)),
IFERROR(INDEX('Control - Alt'!$C$9:$O$27,MATCH(A$97,'Control - Alt'!$B$9:$B$27,0),MATCH($Q49,'Control - Alt'!$C$32:$O$32,0)),
IFERROR(INDEX(Stockpile!$C$10:$M$26,MATCH(A$97,Stockpile!$B$10:$B$26,0),MATCH($Q49,Stockpile!$C$30:$M$30,0)),
IFERROR(INDEX('Asphalt Silo &amp; Unloading'!$D$10:$M$44,MATCH(A$97,'Asphalt Silo &amp; Unloading'!$B$10:$B$44,0),MATCH($Q49,'Asphalt Silo &amp; Unloading'!$D$49:$M$49,0)),""))))))</f>
        <v/>
      </c>
      <c r="B49" s="135" t="str">
        <f>IFERROR(INDEX('Material Handling'!$C$10:$AH$33,MATCH(B$97,Material_Handling[Data],0),MATCH($Q49,'Material Handling'!$C$40:$AH$40,0)), IFERROR(INDEX('Drop Point'!$B$13:$M$36,MATCH(B$97,'Drop Point'!$B$13:$B$37,0),MATCH($Q49,'Drop Point'!$B$41:$M$41,0)),
IFERROR(INDEX('Control - Grain dscf'!$C$11:$N$27,MATCH(B$97,'Control - Grain dscf'!$B$11:$B$27,0),MATCH($Q49,'Control - Grain dscf'!$C$32:$N$32,0)),
IFERROR(INDEX('Control - Alt'!$C$9:$O$27,MATCH(B$97,'Control - Alt'!$B$9:$B$27,0),MATCH($Q49,'Control - Alt'!$C$32:$O$32,0)),
IFERROR(INDEX(Stockpile!$C$10:$M$26,MATCH(B$97,Stockpile!$B$10:$B$26,0),MATCH($Q49,Stockpile!$C$30:$M$30,0)),
IFERROR(INDEX('Asphalt Silo &amp; Unloading'!$D$10:$M$44,MATCH(B$97,'Asphalt Silo &amp; Unloading'!$B$10:$B$44,0),MATCH($Q49,'Asphalt Silo &amp; Unloading'!$D$49:$M$49,0)),""))))))</f>
        <v/>
      </c>
      <c r="C49" s="135" t="str">
        <f>IFERROR(INDEX('Material Handling'!$C$10:$AH$33,MATCH(C$97,Material_Handling[Data],0),MATCH($Q49,'Material Handling'!$C$40:$AH$40,0)), IFERROR(INDEX('Drop Point'!$B$13:$M$36,MATCH(C$97,'Drop Point'!$B$13:$B$37,0),MATCH($Q49,'Drop Point'!$B$41:$M$41,0)),
IFERROR(INDEX('Control - Grain dscf'!$C$11:$N$27,MATCH(C$97,'Control - Grain dscf'!$B$11:$B$27,0),MATCH($Q49,'Control - Grain dscf'!$C$32:$N$32,0)),
IFERROR(INDEX('Control - Alt'!$C$9:$O$27,MATCH(C$97,'Control - Alt'!$B$9:$B$27,0),MATCH($Q49,'Control - Alt'!$C$32:$O$32,0)),
IFERROR(INDEX(Stockpile!$C$10:$M$26,MATCH(C$97,Stockpile!$B$10:$B$26,0),MATCH($Q49,Stockpile!$C$30:$M$30,0)),
IFERROR(INDEX('Asphalt Silo &amp; Unloading'!$D$10:$M$44,MATCH(C$97,'Asphalt Silo &amp; Unloading'!$B$10:$B$44,0),MATCH($Q49,'Asphalt Silo &amp; Unloading'!$D$49:$M$49,0)),""))))))</f>
        <v/>
      </c>
      <c r="D49" s="135" t="str">
        <f>IFERROR(INDEX('Material Handling'!$C$10:$AH$33,MATCH(D$97,Material_Handling[Data],0),MATCH($Q49,'Material Handling'!$C$40:$AH$40,0)), IFERROR(INDEX('Drop Point'!$B$13:$M$36,MATCH(D$97,'Drop Point'!$B$13:$B$37,0),MATCH($Q49,'Drop Point'!$B$41:$M$41,0)),
IFERROR(INDEX('Control - Grain dscf'!$C$11:$N$27,MATCH(D$97,'Control - Grain dscf'!$B$11:$B$27,0),MATCH($Q49,'Control - Grain dscf'!$C$32:$N$32,0)),
IFERROR(INDEX('Control - Alt'!$C$9:$O$27,MATCH(D$97,'Control - Alt'!$B$9:$B$27,0),MATCH($Q49,'Control - Alt'!$C$32:$O$32,0)),
IFERROR(INDEX(Stockpile!$C$10:$M$26,MATCH(D$97,Stockpile!$B$10:$B$26,0),MATCH($Q49,Stockpile!$C$30:$M$30,0)),
IFERROR(INDEX('Asphalt Silo &amp; Unloading'!$D$10:$M$44,MATCH(D$97,'Asphalt Silo &amp; Unloading'!$B$10:$B$44,0),MATCH($Q49,'Asphalt Silo &amp; Unloading'!$D$49:$M$49,0)),""))))))</f>
        <v/>
      </c>
      <c r="E49" s="620" t="str">
        <f>IFERROR(INDEX('Material Handling'!$C$10:$AH$33,MATCH(E$97,Material_Handling[Data],0),MATCH($Q49,'Material Handling'!$C$40:$AH$40,0)), IFERROR(INDEX('Drop Point'!$B$13:$M$36,MATCH(E$97,'Drop Point'!$B$13:$B$37,0),MATCH($Q49,'Drop Point'!$B$41:$M$41,0)),
IFERROR(INDEX('Control - Grain dscf'!$C$11:$N$27,MATCH(E$97,'Control - Grain dscf'!$B$11:$B$27,0),MATCH($Q49,'Control - Grain dscf'!$C$32:$N$32,0)),
IFERROR(INDEX('Control - Alt'!$C$9:$O$27,MATCH(E$97,'Control - Alt'!$B$9:$B$27,0),MATCH($Q49,'Control - Alt'!$C$32:$O$32,0)),
IFERROR(INDEX(Stockpile!$C$10:$M$26,MATCH(E$97,Stockpile!$B$10:$B$26,0),MATCH($Q49,Stockpile!$C$30:$M$30,0)),
IFERROR(INDEX('Asphalt Silo &amp; Unloading'!$D$10:$M$44,MATCH(E$97,'Asphalt Silo &amp; Unloading'!$B$10:$B$44,0),MATCH($Q49,'Asphalt Silo &amp; Unloading'!$D$49:$M$49,0)),""))))))</f>
        <v/>
      </c>
      <c r="F49" s="590" t="str">
        <f>IFERROR(INDEX('Material Handling'!$C$10:$AH$33,MATCH(F$97,Material_Handling[Data],0),MATCH($Q49,'Material Handling'!$C$40:$AH$40,0)), IFERROR(INDEX('Drop Point'!$B$13:$M$36,MATCH(F$97,'Drop Point'!$B$13:$B$37,0),MATCH($Q49,'Drop Point'!$B$41:$M$41,0)),
IFERROR(INDEX('Control - Grain dscf'!$C$11:$N$27,MATCH(F$97,'Control - Grain dscf'!$B$11:$B$27,0),MATCH($Q49,'Control - Grain dscf'!$C$32:$N$32,0)),
IFERROR(INDEX('Control - Alt'!$C$9:$O$27,MATCH(F$97,'Control - Alt'!$B$9:$B$27,0),MATCH($Q49,'Control - Alt'!$C$32:$O$32,0)),
IFERROR(INDEX(Stockpile!$C$10:$M$26,MATCH(F$97,Stockpile!$B$10:$B$26,0),MATCH($Q49,Stockpile!$C$30:$M$30,0)),
IFERROR(INDEX('Asphalt Silo &amp; Unloading'!$D$10:$M$44,MATCH(F$97,'Asphalt Silo &amp; Unloading'!$B$10:$B$44,0),MATCH($Q49,'Asphalt Silo &amp; Unloading'!$D$49:$M$49,0)),""))))))</f>
        <v/>
      </c>
      <c r="G49" s="590" t="str">
        <f>IFERROR(INDEX('Material Handling'!$C$10:$AH$33,MATCH(G$97,Material_Handling[Data],0),MATCH($Q49,'Material Handling'!$C$40:$AH$40,0)), IFERROR(INDEX('Drop Point'!$B$13:$M$36,MATCH(G$97,'Drop Point'!$B$13:$B$37,0),MATCH($Q49,'Drop Point'!$B$41:$M$41,0)),
IFERROR(INDEX('Control - Grain dscf'!$C$11:$N$27,MATCH(G$97,'Control - Grain dscf'!$B$11:$B$27,0),MATCH($Q49,'Control - Grain dscf'!$C$32:$N$32,0)),
IFERROR(INDEX('Control - Alt'!$C$9:$O$27,MATCH(G$97,'Control - Alt'!$B$9:$B$27,0),MATCH($Q49,'Control - Alt'!$C$32:$O$32,0)),
IFERROR(INDEX(Stockpile!$C$10:$M$26,MATCH(G$97,Stockpile!$B$10:$B$26,0),MATCH($Q49,Stockpile!$C$30:$M$30,0)),
IFERROR(INDEX('Asphalt Silo &amp; Unloading'!$D$10:$M$44,MATCH(G$97,'Asphalt Silo &amp; Unloading'!$B$10:$B$44,0),MATCH($Q49,'Asphalt Silo &amp; Unloading'!$D$49:$M$49,0)),""))))))</f>
        <v/>
      </c>
      <c r="H49" s="590" t="str">
        <f>IFERROR(INDEX('Material Handling'!$C$10:$AH$33,MATCH(H$97,Material_Handling[Data],0),MATCH($Q49,'Material Handling'!$C$40:$AH$40,0)), IFERROR(INDEX('Drop Point'!$B$13:$M$36,MATCH(H$97,'Drop Point'!$B$13:$B$37,0),MATCH($Q49,'Drop Point'!$B$41:$M$41,0)),
IFERROR(INDEX('Control - Grain dscf'!$C$11:$N$27,MATCH(H$97,'Control - Grain dscf'!$B$11:$B$27,0),MATCH($Q49,'Control - Grain dscf'!$C$32:$N$32,0)),
IFERROR(INDEX('Control - Alt'!$C$9:$O$27,MATCH(H$97,'Control - Alt'!$B$9:$B$27,0),MATCH($Q49,'Control - Alt'!$C$32:$O$32,0)),
IFERROR(INDEX(Stockpile!$C$10:$M$26,MATCH(H$97,Stockpile!$B$10:$B$26,0),MATCH($Q49,Stockpile!$C$30:$M$30,0)),
IFERROR(INDEX('Asphalt Silo &amp; Unloading'!$D$10:$M$44,MATCH(H$97,'Asphalt Silo &amp; Unloading'!$B$10:$B$44,0),MATCH($Q49,'Asphalt Silo &amp; Unloading'!$D$49:$M$49,0)),""))))))</f>
        <v/>
      </c>
      <c r="I49" s="590" t="str">
        <f>IFERROR(INDEX('Material Handling'!$C$10:$AH$33,MATCH(I$97,Material_Handling[Data],0),MATCH($Q49,'Material Handling'!$C$40:$AH$40,0)), IFERROR(INDEX('Drop Point'!$B$13:$M$36,MATCH(I$97,'Drop Point'!$B$13:$B$37,0),MATCH($Q49,'Drop Point'!$B$41:$M$41,0)),
IFERROR(INDEX('Control - Grain dscf'!$C$11:$N$27,MATCH(I$97,'Control - Grain dscf'!$B$11:$B$27,0),MATCH($Q49,'Control - Grain dscf'!$C$32:$N$32,0)),
IFERROR(INDEX('Control - Alt'!$C$9:$O$27,MATCH(I$97,'Control - Alt'!$B$9:$B$27,0),MATCH($Q49,'Control - Alt'!$C$32:$O$32,0)),
IFERROR(INDEX(Stockpile!$C$10:$M$26,MATCH(I$97,Stockpile!$B$10:$B$26,0),MATCH($Q49,Stockpile!$C$30:$M$30,0)),
IFERROR(INDEX('Asphalt Silo &amp; Unloading'!$D$10:$M$44,MATCH(I$97,'Asphalt Silo &amp; Unloading'!$B$10:$B$44,0),MATCH($Q49,'Asphalt Silo &amp; Unloading'!$D$49:$M$49,0)),""))))))</f>
        <v/>
      </c>
      <c r="J49" s="590" t="str">
        <f>IFERROR(INDEX('Material Handling'!$C$10:$AH$33,MATCH(J$97,Material_Handling[Data],0),MATCH($Q49,'Material Handling'!$C$40:$AH$40,0)), IFERROR(INDEX('Drop Point'!$B$13:$M$36,MATCH(J$97,'Drop Point'!$B$13:$B$37,0),MATCH($Q49,'Drop Point'!$B$41:$M$41,0)),
IFERROR(INDEX('Control - Grain dscf'!$C$11:$N$27,MATCH(J$97,'Control - Grain dscf'!$B$11:$B$27,0),MATCH($Q49,'Control - Grain dscf'!$C$32:$N$32,0)),
IFERROR(INDEX('Control - Alt'!$C$9:$O$27,MATCH(J$97,'Control - Alt'!$B$9:$B$27,0),MATCH($Q49,'Control - Alt'!$C$32:$O$32,0)),
IFERROR(INDEX(Stockpile!$C$10:$M$26,MATCH(J$97,Stockpile!$B$10:$B$26,0),MATCH($Q49,Stockpile!$C$30:$M$30,0)),
IFERROR(INDEX('Asphalt Silo &amp; Unloading'!$D$10:$M$44,MATCH(J$97,'Asphalt Silo &amp; Unloading'!$B$10:$B$44,0),MATCH($Q49,'Asphalt Silo &amp; Unloading'!$D$49:$M$49,0)),""))))))</f>
        <v/>
      </c>
      <c r="K49" s="590" t="str">
        <f>IFERROR(INDEX('Material Handling'!$C$10:$AH$33,MATCH(K$97,Material_Handling[Data],0),MATCH($Q49,'Material Handling'!$C$40:$AH$40,0)), IFERROR(INDEX('Drop Point'!$B$13:$M$36,MATCH(K$97,'Drop Point'!$B$13:$B$37,0),MATCH($Q49,'Drop Point'!$B$41:$M$41,0)),
IFERROR(INDEX('Control - Grain dscf'!$C$11:$N$27,MATCH(K$97,'Control - Grain dscf'!$B$11:$B$27,0),MATCH($Q49,'Control - Grain dscf'!$C$32:$N$32,0)),
IFERROR(INDEX('Control - Alt'!$C$9:$O$27,MATCH(K$97,'Control - Alt'!$B$9:$B$27,0),MATCH($Q49,'Control - Alt'!$C$32:$O$32,0)),
IFERROR(INDEX(Stockpile!$C$10:$M$26,MATCH(K$97,Stockpile!$B$10:$B$26,0),MATCH($Q49,Stockpile!$C$30:$M$30,0)),
IFERROR(INDEX('Asphalt Silo &amp; Unloading'!$D$10:$M$44,MATCH(K$97,'Asphalt Silo &amp; Unloading'!$B$10:$B$44,0),MATCH($Q49,'Asphalt Silo &amp; Unloading'!$D$49:$M$49,0)),""))))))</f>
        <v/>
      </c>
      <c r="L49" s="590" t="str">
        <f>IFERROR(INDEX('Material Handling'!$C$10:$AH$33,MATCH(L$97,Material_Handling[Data],0),MATCH($Q49,'Material Handling'!$C$40:$AH$40,0)), IFERROR(INDEX('Drop Point'!$B$13:$M$36,MATCH(L$97,'Drop Point'!$B$13:$B$37,0),MATCH($Q49,'Drop Point'!$B$41:$M$41,0)),
IFERROR(INDEX('Control - Grain dscf'!$C$11:$N$27,MATCH(L$97,'Control - Grain dscf'!$B$11:$B$27,0),MATCH($Q49,'Control - Grain dscf'!$C$32:$N$32,0)),
IFERROR(INDEX('Control - Alt'!$C$9:$O$27,MATCH(L$97,'Control - Alt'!$B$9:$B$27,0),MATCH($Q49,'Control - Alt'!$C$32:$O$32,0)),
IFERROR(INDEX(Stockpile!$C$10:$M$26,MATCH(L$97,Stockpile!$B$10:$B$26,0),MATCH($Q49,Stockpile!$C$30:$M$30,0)),
IFERROR(INDEX('Asphalt Silo &amp; Unloading'!$D$10:$M$44,MATCH(L$97,'Asphalt Silo &amp; Unloading'!$B$10:$B$44,0),MATCH($Q49,'Asphalt Silo &amp; Unloading'!$D$49:$M$49,0)),""))))))</f>
        <v/>
      </c>
      <c r="M49" s="590" t="str">
        <f>IFERROR(INDEX('Material Handling'!$C$10:$AH$33,MATCH(M$97,Material_Handling[Data],0),MATCH($Q49,'Material Handling'!$C$40:$AH$40,0)), IFERROR(INDEX('Drop Point'!$B$13:$M$36,MATCH(M$97,'Drop Point'!$B$13:$B$37,0),MATCH($Q49,'Drop Point'!$B$41:$M$41,0)),
IFERROR(INDEX('Control - Grain dscf'!$C$11:$N$27,MATCH(M$97,'Control - Grain dscf'!$B$11:$B$27,0),MATCH($Q49,'Control - Grain dscf'!$C$32:$N$32,0)),
IFERROR(INDEX('Control - Alt'!$C$9:$O$27,MATCH(M$97,'Control - Alt'!$B$9:$B$27,0),MATCH($Q49,'Control - Alt'!$C$32:$O$32,0)),
IFERROR(INDEX(Stockpile!$C$10:$M$26,MATCH(M$97,Stockpile!$B$10:$B$26,0),MATCH($Q49,Stockpile!$C$30:$M$30,0)),
IFERROR(INDEX('Asphalt Silo &amp; Unloading'!$D$10:$M$44,MATCH(M$97,'Asphalt Silo &amp; Unloading'!$B$10:$B$44,0),MATCH($Q49,'Asphalt Silo &amp; Unloading'!$D$49:$M$49,0)),""))))))</f>
        <v/>
      </c>
      <c r="N49" s="590" t="str">
        <f>IFERROR(INDEX('Material Handling'!$C$10:$AH$33,MATCH(N$97,Material_Handling[Data],0),MATCH($Q49,'Material Handling'!$C$40:$AH$40,0)), IFERROR(INDEX('Drop Point'!$B$13:$M$36,MATCH(N$97,'Drop Point'!$B$13:$B$37,0),MATCH($Q49,'Drop Point'!$B$41:$M$41,0)),
IFERROR(INDEX('Control - Grain dscf'!$C$11:$N$27,MATCH(N$97,'Control - Grain dscf'!$B$11:$B$27,0),MATCH($Q49,'Control - Grain dscf'!$C$32:$N$32,0)),
IFERROR(INDEX('Control - Alt'!$C$9:$O$27,MATCH(N$97,'Control - Alt'!$B$9:$B$27,0),MATCH($Q49,'Control - Alt'!$C$32:$O$32,0)),
IFERROR(INDEX(Stockpile!$C$10:$M$26,MATCH(N$97,Stockpile!$B$10:$B$26,0),MATCH($Q49,Stockpile!$C$30:$M$30,0)),
IFERROR(INDEX('Asphalt Silo &amp; Unloading'!$D$10:$M$44,MATCH(N$97,'Asphalt Silo &amp; Unloading'!$B$10:$B$44,0),MATCH($Q49,'Asphalt Silo &amp; Unloading'!$D$49:$M$49,0)),""))))))</f>
        <v/>
      </c>
      <c r="O49" s="591" t="str">
        <f>IFERROR(INDEX('Material Handling'!$C$10:$AH$33,MATCH(O$97,Material_Handling[Data],0),MATCH($Q49,'Material Handling'!$C$40:$AH$40,0)), IFERROR(INDEX('Drop Point'!$B$13:$M$36,MATCH(O$97,'Drop Point'!$B$13:$B$37,0),MATCH($Q49,'Drop Point'!$B$41:$M$41,0)),
IFERROR(INDEX('Control - Grain dscf'!$C$11:$N$27,MATCH(O$97,'Control - Grain dscf'!$B$11:$B$27,0),MATCH($Q49,'Control - Grain dscf'!$C$32:$N$32,0)),
IFERROR(INDEX('Control - Alt'!$C$9:$O$27,MATCH(O$97,'Control - Alt'!$B$9:$B$27,0),MATCH($Q49,'Control - Alt'!$C$32:$O$32,0)),
IFERROR(INDEX(Stockpile!$C$10:$M$26,MATCH(O$97,Stockpile!$B$10:$B$26,0),MATCH($Q49,Stockpile!$C$30:$M$30,0)),
IFERROR(INDEX('Asphalt Silo &amp; Unloading'!$D$10:$M$44,MATCH(O$97,'Asphalt Silo &amp; Unloading'!$B$10:$B$44,0),MATCH($Q49,'Asphalt Silo &amp; Unloading'!$D$49:$M$49,0)),""))))))</f>
        <v/>
      </c>
      <c r="Q49" s="131">
        <f t="shared" si="1"/>
        <v>41</v>
      </c>
    </row>
    <row r="50" spans="1:17" ht="20.100000000000001" customHeight="1">
      <c r="A50" s="293" t="str">
        <f>IFERROR(INDEX('Material Handling'!$C$10:$AH$33,MATCH(A$97,Material_Handling[Data],0),MATCH($Q50,'Material Handling'!$C$40:$AH$40,0)), IFERROR(INDEX('Drop Point'!$B$13:$M$36,MATCH(A$97,'Drop Point'!$B$13:$B$37,0),MATCH($Q50,'Drop Point'!$B$41:$M$41,0)),
IFERROR(INDEX('Control - Grain dscf'!$C$11:$N$27,MATCH(A$97,'Control - Grain dscf'!$B$11:$B$27,0),MATCH($Q50,'Control - Grain dscf'!$C$32:$N$32,0)),
IFERROR(INDEX('Control - Alt'!$C$9:$O$27,MATCH(A$97,'Control - Alt'!$B$9:$B$27,0),MATCH($Q50,'Control - Alt'!$C$32:$O$32,0)),
IFERROR(INDEX(Stockpile!$C$10:$M$26,MATCH(A$97,Stockpile!$B$10:$B$26,0),MATCH($Q50,Stockpile!$C$30:$M$30,0)),
IFERROR(INDEX('Asphalt Silo &amp; Unloading'!$D$10:$M$44,MATCH(A$97,'Asphalt Silo &amp; Unloading'!$B$10:$B$44,0),MATCH($Q50,'Asphalt Silo &amp; Unloading'!$D$49:$M$49,0)),""))))))</f>
        <v/>
      </c>
      <c r="B50" s="135" t="str">
        <f>IFERROR(INDEX('Material Handling'!$C$10:$AH$33,MATCH(B$97,Material_Handling[Data],0),MATCH($Q50,'Material Handling'!$C$40:$AH$40,0)), IFERROR(INDEX('Drop Point'!$B$13:$M$36,MATCH(B$97,'Drop Point'!$B$13:$B$37,0),MATCH($Q50,'Drop Point'!$B$41:$M$41,0)),
IFERROR(INDEX('Control - Grain dscf'!$C$11:$N$27,MATCH(B$97,'Control - Grain dscf'!$B$11:$B$27,0),MATCH($Q50,'Control - Grain dscf'!$C$32:$N$32,0)),
IFERROR(INDEX('Control - Alt'!$C$9:$O$27,MATCH(B$97,'Control - Alt'!$B$9:$B$27,0),MATCH($Q50,'Control - Alt'!$C$32:$O$32,0)),
IFERROR(INDEX(Stockpile!$C$10:$M$26,MATCH(B$97,Stockpile!$B$10:$B$26,0),MATCH($Q50,Stockpile!$C$30:$M$30,0)),
IFERROR(INDEX('Asphalt Silo &amp; Unloading'!$D$10:$M$44,MATCH(B$97,'Asphalt Silo &amp; Unloading'!$B$10:$B$44,0),MATCH($Q50,'Asphalt Silo &amp; Unloading'!$D$49:$M$49,0)),""))))))</f>
        <v/>
      </c>
      <c r="C50" s="135" t="str">
        <f>IFERROR(INDEX('Material Handling'!$C$10:$AH$33,MATCH(C$97,Material_Handling[Data],0),MATCH($Q50,'Material Handling'!$C$40:$AH$40,0)), IFERROR(INDEX('Drop Point'!$B$13:$M$36,MATCH(C$97,'Drop Point'!$B$13:$B$37,0),MATCH($Q50,'Drop Point'!$B$41:$M$41,0)),
IFERROR(INDEX('Control - Grain dscf'!$C$11:$N$27,MATCH(C$97,'Control - Grain dscf'!$B$11:$B$27,0),MATCH($Q50,'Control - Grain dscf'!$C$32:$N$32,0)),
IFERROR(INDEX('Control - Alt'!$C$9:$O$27,MATCH(C$97,'Control - Alt'!$B$9:$B$27,0),MATCH($Q50,'Control - Alt'!$C$32:$O$32,0)),
IFERROR(INDEX(Stockpile!$C$10:$M$26,MATCH(C$97,Stockpile!$B$10:$B$26,0),MATCH($Q50,Stockpile!$C$30:$M$30,0)),
IFERROR(INDEX('Asphalt Silo &amp; Unloading'!$D$10:$M$44,MATCH(C$97,'Asphalt Silo &amp; Unloading'!$B$10:$B$44,0),MATCH($Q50,'Asphalt Silo &amp; Unloading'!$D$49:$M$49,0)),""))))))</f>
        <v/>
      </c>
      <c r="D50" s="135" t="str">
        <f>IFERROR(INDEX('Material Handling'!$C$10:$AH$33,MATCH(D$97,Material_Handling[Data],0),MATCH($Q50,'Material Handling'!$C$40:$AH$40,0)), IFERROR(INDEX('Drop Point'!$B$13:$M$36,MATCH(D$97,'Drop Point'!$B$13:$B$37,0),MATCH($Q50,'Drop Point'!$B$41:$M$41,0)),
IFERROR(INDEX('Control - Grain dscf'!$C$11:$N$27,MATCH(D$97,'Control - Grain dscf'!$B$11:$B$27,0),MATCH($Q50,'Control - Grain dscf'!$C$32:$N$32,0)),
IFERROR(INDEX('Control - Alt'!$C$9:$O$27,MATCH(D$97,'Control - Alt'!$B$9:$B$27,0),MATCH($Q50,'Control - Alt'!$C$32:$O$32,0)),
IFERROR(INDEX(Stockpile!$C$10:$M$26,MATCH(D$97,Stockpile!$B$10:$B$26,0),MATCH($Q50,Stockpile!$C$30:$M$30,0)),
IFERROR(INDEX('Asphalt Silo &amp; Unloading'!$D$10:$M$44,MATCH(D$97,'Asphalt Silo &amp; Unloading'!$B$10:$B$44,0),MATCH($Q50,'Asphalt Silo &amp; Unloading'!$D$49:$M$49,0)),""))))))</f>
        <v/>
      </c>
      <c r="E50" s="620" t="str">
        <f>IFERROR(INDEX('Material Handling'!$C$10:$AH$33,MATCH(E$97,Material_Handling[Data],0),MATCH($Q50,'Material Handling'!$C$40:$AH$40,0)), IFERROR(INDEX('Drop Point'!$B$13:$M$36,MATCH(E$97,'Drop Point'!$B$13:$B$37,0),MATCH($Q50,'Drop Point'!$B$41:$M$41,0)),
IFERROR(INDEX('Control - Grain dscf'!$C$11:$N$27,MATCH(E$97,'Control - Grain dscf'!$B$11:$B$27,0),MATCH($Q50,'Control - Grain dscf'!$C$32:$N$32,0)),
IFERROR(INDEX('Control - Alt'!$C$9:$O$27,MATCH(E$97,'Control - Alt'!$B$9:$B$27,0),MATCH($Q50,'Control - Alt'!$C$32:$O$32,0)),
IFERROR(INDEX(Stockpile!$C$10:$M$26,MATCH(E$97,Stockpile!$B$10:$B$26,0),MATCH($Q50,Stockpile!$C$30:$M$30,0)),
IFERROR(INDEX('Asphalt Silo &amp; Unloading'!$D$10:$M$44,MATCH(E$97,'Asphalt Silo &amp; Unloading'!$B$10:$B$44,0),MATCH($Q50,'Asphalt Silo &amp; Unloading'!$D$49:$M$49,0)),""))))))</f>
        <v/>
      </c>
      <c r="F50" s="590" t="str">
        <f>IFERROR(INDEX('Material Handling'!$C$10:$AH$33,MATCH(F$97,Material_Handling[Data],0),MATCH($Q50,'Material Handling'!$C$40:$AH$40,0)), IFERROR(INDEX('Drop Point'!$B$13:$M$36,MATCH(F$97,'Drop Point'!$B$13:$B$37,0),MATCH($Q50,'Drop Point'!$B$41:$M$41,0)),
IFERROR(INDEX('Control - Grain dscf'!$C$11:$N$27,MATCH(F$97,'Control - Grain dscf'!$B$11:$B$27,0),MATCH($Q50,'Control - Grain dscf'!$C$32:$N$32,0)),
IFERROR(INDEX('Control - Alt'!$C$9:$O$27,MATCH(F$97,'Control - Alt'!$B$9:$B$27,0),MATCH($Q50,'Control - Alt'!$C$32:$O$32,0)),
IFERROR(INDEX(Stockpile!$C$10:$M$26,MATCH(F$97,Stockpile!$B$10:$B$26,0),MATCH($Q50,Stockpile!$C$30:$M$30,0)),
IFERROR(INDEX('Asphalt Silo &amp; Unloading'!$D$10:$M$44,MATCH(F$97,'Asphalt Silo &amp; Unloading'!$B$10:$B$44,0),MATCH($Q50,'Asphalt Silo &amp; Unloading'!$D$49:$M$49,0)),""))))))</f>
        <v/>
      </c>
      <c r="G50" s="590" t="str">
        <f>IFERROR(INDEX('Material Handling'!$C$10:$AH$33,MATCH(G$97,Material_Handling[Data],0),MATCH($Q50,'Material Handling'!$C$40:$AH$40,0)), IFERROR(INDEX('Drop Point'!$B$13:$M$36,MATCH(G$97,'Drop Point'!$B$13:$B$37,0),MATCH($Q50,'Drop Point'!$B$41:$M$41,0)),
IFERROR(INDEX('Control - Grain dscf'!$C$11:$N$27,MATCH(G$97,'Control - Grain dscf'!$B$11:$B$27,0),MATCH($Q50,'Control - Grain dscf'!$C$32:$N$32,0)),
IFERROR(INDEX('Control - Alt'!$C$9:$O$27,MATCH(G$97,'Control - Alt'!$B$9:$B$27,0),MATCH($Q50,'Control - Alt'!$C$32:$O$32,0)),
IFERROR(INDEX(Stockpile!$C$10:$M$26,MATCH(G$97,Stockpile!$B$10:$B$26,0),MATCH($Q50,Stockpile!$C$30:$M$30,0)),
IFERROR(INDEX('Asphalt Silo &amp; Unloading'!$D$10:$M$44,MATCH(G$97,'Asphalt Silo &amp; Unloading'!$B$10:$B$44,0),MATCH($Q50,'Asphalt Silo &amp; Unloading'!$D$49:$M$49,0)),""))))))</f>
        <v/>
      </c>
      <c r="H50" s="590" t="str">
        <f>IFERROR(INDEX('Material Handling'!$C$10:$AH$33,MATCH(H$97,Material_Handling[Data],0),MATCH($Q50,'Material Handling'!$C$40:$AH$40,0)), IFERROR(INDEX('Drop Point'!$B$13:$M$36,MATCH(H$97,'Drop Point'!$B$13:$B$37,0),MATCH($Q50,'Drop Point'!$B$41:$M$41,0)),
IFERROR(INDEX('Control - Grain dscf'!$C$11:$N$27,MATCH(H$97,'Control - Grain dscf'!$B$11:$B$27,0),MATCH($Q50,'Control - Grain dscf'!$C$32:$N$32,0)),
IFERROR(INDEX('Control - Alt'!$C$9:$O$27,MATCH(H$97,'Control - Alt'!$B$9:$B$27,0),MATCH($Q50,'Control - Alt'!$C$32:$O$32,0)),
IFERROR(INDEX(Stockpile!$C$10:$M$26,MATCH(H$97,Stockpile!$B$10:$B$26,0),MATCH($Q50,Stockpile!$C$30:$M$30,0)),
IFERROR(INDEX('Asphalt Silo &amp; Unloading'!$D$10:$M$44,MATCH(H$97,'Asphalt Silo &amp; Unloading'!$B$10:$B$44,0),MATCH($Q50,'Asphalt Silo &amp; Unloading'!$D$49:$M$49,0)),""))))))</f>
        <v/>
      </c>
      <c r="I50" s="590" t="str">
        <f>IFERROR(INDEX('Material Handling'!$C$10:$AH$33,MATCH(I$97,Material_Handling[Data],0),MATCH($Q50,'Material Handling'!$C$40:$AH$40,0)), IFERROR(INDEX('Drop Point'!$B$13:$M$36,MATCH(I$97,'Drop Point'!$B$13:$B$37,0),MATCH($Q50,'Drop Point'!$B$41:$M$41,0)),
IFERROR(INDEX('Control - Grain dscf'!$C$11:$N$27,MATCH(I$97,'Control - Grain dscf'!$B$11:$B$27,0),MATCH($Q50,'Control - Grain dscf'!$C$32:$N$32,0)),
IFERROR(INDEX('Control - Alt'!$C$9:$O$27,MATCH(I$97,'Control - Alt'!$B$9:$B$27,0),MATCH($Q50,'Control - Alt'!$C$32:$O$32,0)),
IFERROR(INDEX(Stockpile!$C$10:$M$26,MATCH(I$97,Stockpile!$B$10:$B$26,0),MATCH($Q50,Stockpile!$C$30:$M$30,0)),
IFERROR(INDEX('Asphalt Silo &amp; Unloading'!$D$10:$M$44,MATCH(I$97,'Asphalt Silo &amp; Unloading'!$B$10:$B$44,0),MATCH($Q50,'Asphalt Silo &amp; Unloading'!$D$49:$M$49,0)),""))))))</f>
        <v/>
      </c>
      <c r="J50" s="590" t="str">
        <f>IFERROR(INDEX('Material Handling'!$C$10:$AH$33,MATCH(J$97,Material_Handling[Data],0),MATCH($Q50,'Material Handling'!$C$40:$AH$40,0)), IFERROR(INDEX('Drop Point'!$B$13:$M$36,MATCH(J$97,'Drop Point'!$B$13:$B$37,0),MATCH($Q50,'Drop Point'!$B$41:$M$41,0)),
IFERROR(INDEX('Control - Grain dscf'!$C$11:$N$27,MATCH(J$97,'Control - Grain dscf'!$B$11:$B$27,0),MATCH($Q50,'Control - Grain dscf'!$C$32:$N$32,0)),
IFERROR(INDEX('Control - Alt'!$C$9:$O$27,MATCH(J$97,'Control - Alt'!$B$9:$B$27,0),MATCH($Q50,'Control - Alt'!$C$32:$O$32,0)),
IFERROR(INDEX(Stockpile!$C$10:$M$26,MATCH(J$97,Stockpile!$B$10:$B$26,0),MATCH($Q50,Stockpile!$C$30:$M$30,0)),
IFERROR(INDEX('Asphalt Silo &amp; Unloading'!$D$10:$M$44,MATCH(J$97,'Asphalt Silo &amp; Unloading'!$B$10:$B$44,0),MATCH($Q50,'Asphalt Silo &amp; Unloading'!$D$49:$M$49,0)),""))))))</f>
        <v/>
      </c>
      <c r="K50" s="590" t="str">
        <f>IFERROR(INDEX('Material Handling'!$C$10:$AH$33,MATCH(K$97,Material_Handling[Data],0),MATCH($Q50,'Material Handling'!$C$40:$AH$40,0)), IFERROR(INDEX('Drop Point'!$B$13:$M$36,MATCH(K$97,'Drop Point'!$B$13:$B$37,0),MATCH($Q50,'Drop Point'!$B$41:$M$41,0)),
IFERROR(INDEX('Control - Grain dscf'!$C$11:$N$27,MATCH(K$97,'Control - Grain dscf'!$B$11:$B$27,0),MATCH($Q50,'Control - Grain dscf'!$C$32:$N$32,0)),
IFERROR(INDEX('Control - Alt'!$C$9:$O$27,MATCH(K$97,'Control - Alt'!$B$9:$B$27,0),MATCH($Q50,'Control - Alt'!$C$32:$O$32,0)),
IFERROR(INDEX(Stockpile!$C$10:$M$26,MATCH(K$97,Stockpile!$B$10:$B$26,0),MATCH($Q50,Stockpile!$C$30:$M$30,0)),
IFERROR(INDEX('Asphalt Silo &amp; Unloading'!$D$10:$M$44,MATCH(K$97,'Asphalt Silo &amp; Unloading'!$B$10:$B$44,0),MATCH($Q50,'Asphalt Silo &amp; Unloading'!$D$49:$M$49,0)),""))))))</f>
        <v/>
      </c>
      <c r="L50" s="590" t="str">
        <f>IFERROR(INDEX('Material Handling'!$C$10:$AH$33,MATCH(L$97,Material_Handling[Data],0),MATCH($Q50,'Material Handling'!$C$40:$AH$40,0)), IFERROR(INDEX('Drop Point'!$B$13:$M$36,MATCH(L$97,'Drop Point'!$B$13:$B$37,0),MATCH($Q50,'Drop Point'!$B$41:$M$41,0)),
IFERROR(INDEX('Control - Grain dscf'!$C$11:$N$27,MATCH(L$97,'Control - Grain dscf'!$B$11:$B$27,0),MATCH($Q50,'Control - Grain dscf'!$C$32:$N$32,0)),
IFERROR(INDEX('Control - Alt'!$C$9:$O$27,MATCH(L$97,'Control - Alt'!$B$9:$B$27,0),MATCH($Q50,'Control - Alt'!$C$32:$O$32,0)),
IFERROR(INDEX(Stockpile!$C$10:$M$26,MATCH(L$97,Stockpile!$B$10:$B$26,0),MATCH($Q50,Stockpile!$C$30:$M$30,0)),
IFERROR(INDEX('Asphalt Silo &amp; Unloading'!$D$10:$M$44,MATCH(L$97,'Asphalt Silo &amp; Unloading'!$B$10:$B$44,0),MATCH($Q50,'Asphalt Silo &amp; Unloading'!$D$49:$M$49,0)),""))))))</f>
        <v/>
      </c>
      <c r="M50" s="590" t="str">
        <f>IFERROR(INDEX('Material Handling'!$C$10:$AH$33,MATCH(M$97,Material_Handling[Data],0),MATCH($Q50,'Material Handling'!$C$40:$AH$40,0)), IFERROR(INDEX('Drop Point'!$B$13:$M$36,MATCH(M$97,'Drop Point'!$B$13:$B$37,0),MATCH($Q50,'Drop Point'!$B$41:$M$41,0)),
IFERROR(INDEX('Control - Grain dscf'!$C$11:$N$27,MATCH(M$97,'Control - Grain dscf'!$B$11:$B$27,0),MATCH($Q50,'Control - Grain dscf'!$C$32:$N$32,0)),
IFERROR(INDEX('Control - Alt'!$C$9:$O$27,MATCH(M$97,'Control - Alt'!$B$9:$B$27,0),MATCH($Q50,'Control - Alt'!$C$32:$O$32,0)),
IFERROR(INDEX(Stockpile!$C$10:$M$26,MATCH(M$97,Stockpile!$B$10:$B$26,0),MATCH($Q50,Stockpile!$C$30:$M$30,0)),
IFERROR(INDEX('Asphalt Silo &amp; Unloading'!$D$10:$M$44,MATCH(M$97,'Asphalt Silo &amp; Unloading'!$B$10:$B$44,0),MATCH($Q50,'Asphalt Silo &amp; Unloading'!$D$49:$M$49,0)),""))))))</f>
        <v/>
      </c>
      <c r="N50" s="590" t="str">
        <f>IFERROR(INDEX('Material Handling'!$C$10:$AH$33,MATCH(N$97,Material_Handling[Data],0),MATCH($Q50,'Material Handling'!$C$40:$AH$40,0)), IFERROR(INDEX('Drop Point'!$B$13:$M$36,MATCH(N$97,'Drop Point'!$B$13:$B$37,0),MATCH($Q50,'Drop Point'!$B$41:$M$41,0)),
IFERROR(INDEX('Control - Grain dscf'!$C$11:$N$27,MATCH(N$97,'Control - Grain dscf'!$B$11:$B$27,0),MATCH($Q50,'Control - Grain dscf'!$C$32:$N$32,0)),
IFERROR(INDEX('Control - Alt'!$C$9:$O$27,MATCH(N$97,'Control - Alt'!$B$9:$B$27,0),MATCH($Q50,'Control - Alt'!$C$32:$O$32,0)),
IFERROR(INDEX(Stockpile!$C$10:$M$26,MATCH(N$97,Stockpile!$B$10:$B$26,0),MATCH($Q50,Stockpile!$C$30:$M$30,0)),
IFERROR(INDEX('Asphalt Silo &amp; Unloading'!$D$10:$M$44,MATCH(N$97,'Asphalt Silo &amp; Unloading'!$B$10:$B$44,0),MATCH($Q50,'Asphalt Silo &amp; Unloading'!$D$49:$M$49,0)),""))))))</f>
        <v/>
      </c>
      <c r="O50" s="591" t="str">
        <f>IFERROR(INDEX('Material Handling'!$C$10:$AH$33,MATCH(O$97,Material_Handling[Data],0),MATCH($Q50,'Material Handling'!$C$40:$AH$40,0)), IFERROR(INDEX('Drop Point'!$B$13:$M$36,MATCH(O$97,'Drop Point'!$B$13:$B$37,0),MATCH($Q50,'Drop Point'!$B$41:$M$41,0)),
IFERROR(INDEX('Control - Grain dscf'!$C$11:$N$27,MATCH(O$97,'Control - Grain dscf'!$B$11:$B$27,0),MATCH($Q50,'Control - Grain dscf'!$C$32:$N$32,0)),
IFERROR(INDEX('Control - Alt'!$C$9:$O$27,MATCH(O$97,'Control - Alt'!$B$9:$B$27,0),MATCH($Q50,'Control - Alt'!$C$32:$O$32,0)),
IFERROR(INDEX(Stockpile!$C$10:$M$26,MATCH(O$97,Stockpile!$B$10:$B$26,0),MATCH($Q50,Stockpile!$C$30:$M$30,0)),
IFERROR(INDEX('Asphalt Silo &amp; Unloading'!$D$10:$M$44,MATCH(O$97,'Asphalt Silo &amp; Unloading'!$B$10:$B$44,0),MATCH($Q50,'Asphalt Silo &amp; Unloading'!$D$49:$M$49,0)),""))))))</f>
        <v/>
      </c>
      <c r="Q50" s="131">
        <f t="shared" si="1"/>
        <v>42</v>
      </c>
    </row>
    <row r="51" spans="1:17" ht="20.100000000000001" customHeight="1">
      <c r="A51" s="293" t="str">
        <f>IFERROR(INDEX('Material Handling'!$C$10:$AH$33,MATCH(A$97,Material_Handling[Data],0),MATCH($Q51,'Material Handling'!$C$40:$AH$40,0)), IFERROR(INDEX('Drop Point'!$B$13:$M$36,MATCH(A$97,'Drop Point'!$B$13:$B$37,0),MATCH($Q51,'Drop Point'!$B$41:$M$41,0)),
IFERROR(INDEX('Control - Grain dscf'!$C$11:$N$27,MATCH(A$97,'Control - Grain dscf'!$B$11:$B$27,0),MATCH($Q51,'Control - Grain dscf'!$C$32:$N$32,0)),
IFERROR(INDEX('Control - Alt'!$C$9:$O$27,MATCH(A$97,'Control - Alt'!$B$9:$B$27,0),MATCH($Q51,'Control - Alt'!$C$32:$O$32,0)),
IFERROR(INDEX(Stockpile!$C$10:$M$26,MATCH(A$97,Stockpile!$B$10:$B$26,0),MATCH($Q51,Stockpile!$C$30:$M$30,0)),
IFERROR(INDEX('Asphalt Silo &amp; Unloading'!$D$10:$M$44,MATCH(A$97,'Asphalt Silo &amp; Unloading'!$B$10:$B$44,0),MATCH($Q51,'Asphalt Silo &amp; Unloading'!$D$49:$M$49,0)),""))))))</f>
        <v/>
      </c>
      <c r="B51" s="135" t="str">
        <f>IFERROR(INDEX('Material Handling'!$C$10:$AH$33,MATCH(B$97,Material_Handling[Data],0),MATCH($Q51,'Material Handling'!$C$40:$AH$40,0)), IFERROR(INDEX('Drop Point'!$B$13:$M$36,MATCH(B$97,'Drop Point'!$B$13:$B$37,0),MATCH($Q51,'Drop Point'!$B$41:$M$41,0)),
IFERROR(INDEX('Control - Grain dscf'!$C$11:$N$27,MATCH(B$97,'Control - Grain dscf'!$B$11:$B$27,0),MATCH($Q51,'Control - Grain dscf'!$C$32:$N$32,0)),
IFERROR(INDEX('Control - Alt'!$C$9:$O$27,MATCH(B$97,'Control - Alt'!$B$9:$B$27,0),MATCH($Q51,'Control - Alt'!$C$32:$O$32,0)),
IFERROR(INDEX(Stockpile!$C$10:$M$26,MATCH(B$97,Stockpile!$B$10:$B$26,0),MATCH($Q51,Stockpile!$C$30:$M$30,0)),
IFERROR(INDEX('Asphalt Silo &amp; Unloading'!$D$10:$M$44,MATCH(B$97,'Asphalt Silo &amp; Unloading'!$B$10:$B$44,0),MATCH($Q51,'Asphalt Silo &amp; Unloading'!$D$49:$M$49,0)),""))))))</f>
        <v/>
      </c>
      <c r="C51" s="135" t="str">
        <f>IFERROR(INDEX('Material Handling'!$C$10:$AH$33,MATCH(C$97,Material_Handling[Data],0),MATCH($Q51,'Material Handling'!$C$40:$AH$40,0)), IFERROR(INDEX('Drop Point'!$B$13:$M$36,MATCH(C$97,'Drop Point'!$B$13:$B$37,0),MATCH($Q51,'Drop Point'!$B$41:$M$41,0)),
IFERROR(INDEX('Control - Grain dscf'!$C$11:$N$27,MATCH(C$97,'Control - Grain dscf'!$B$11:$B$27,0),MATCH($Q51,'Control - Grain dscf'!$C$32:$N$32,0)),
IFERROR(INDEX('Control - Alt'!$C$9:$O$27,MATCH(C$97,'Control - Alt'!$B$9:$B$27,0),MATCH($Q51,'Control - Alt'!$C$32:$O$32,0)),
IFERROR(INDEX(Stockpile!$C$10:$M$26,MATCH(C$97,Stockpile!$B$10:$B$26,0),MATCH($Q51,Stockpile!$C$30:$M$30,0)),
IFERROR(INDEX('Asphalt Silo &amp; Unloading'!$D$10:$M$44,MATCH(C$97,'Asphalt Silo &amp; Unloading'!$B$10:$B$44,0),MATCH($Q51,'Asphalt Silo &amp; Unloading'!$D$49:$M$49,0)),""))))))</f>
        <v/>
      </c>
      <c r="D51" s="135" t="str">
        <f>IFERROR(INDEX('Material Handling'!$C$10:$AH$33,MATCH(D$97,Material_Handling[Data],0),MATCH($Q51,'Material Handling'!$C$40:$AH$40,0)), IFERROR(INDEX('Drop Point'!$B$13:$M$36,MATCH(D$97,'Drop Point'!$B$13:$B$37,0),MATCH($Q51,'Drop Point'!$B$41:$M$41,0)),
IFERROR(INDEX('Control - Grain dscf'!$C$11:$N$27,MATCH(D$97,'Control - Grain dscf'!$B$11:$B$27,0),MATCH($Q51,'Control - Grain dscf'!$C$32:$N$32,0)),
IFERROR(INDEX('Control - Alt'!$C$9:$O$27,MATCH(D$97,'Control - Alt'!$B$9:$B$27,0),MATCH($Q51,'Control - Alt'!$C$32:$O$32,0)),
IFERROR(INDEX(Stockpile!$C$10:$M$26,MATCH(D$97,Stockpile!$B$10:$B$26,0),MATCH($Q51,Stockpile!$C$30:$M$30,0)),
IFERROR(INDEX('Asphalt Silo &amp; Unloading'!$D$10:$M$44,MATCH(D$97,'Asphalt Silo &amp; Unloading'!$B$10:$B$44,0),MATCH($Q51,'Asphalt Silo &amp; Unloading'!$D$49:$M$49,0)),""))))))</f>
        <v/>
      </c>
      <c r="E51" s="620" t="str">
        <f>IFERROR(INDEX('Material Handling'!$C$10:$AH$33,MATCH(E$97,Material_Handling[Data],0),MATCH($Q51,'Material Handling'!$C$40:$AH$40,0)), IFERROR(INDEX('Drop Point'!$B$13:$M$36,MATCH(E$97,'Drop Point'!$B$13:$B$37,0),MATCH($Q51,'Drop Point'!$B$41:$M$41,0)),
IFERROR(INDEX('Control - Grain dscf'!$C$11:$N$27,MATCH(E$97,'Control - Grain dscf'!$B$11:$B$27,0),MATCH($Q51,'Control - Grain dscf'!$C$32:$N$32,0)),
IFERROR(INDEX('Control - Alt'!$C$9:$O$27,MATCH(E$97,'Control - Alt'!$B$9:$B$27,0),MATCH($Q51,'Control - Alt'!$C$32:$O$32,0)),
IFERROR(INDEX(Stockpile!$C$10:$M$26,MATCH(E$97,Stockpile!$B$10:$B$26,0),MATCH($Q51,Stockpile!$C$30:$M$30,0)),
IFERROR(INDEX('Asphalt Silo &amp; Unloading'!$D$10:$M$44,MATCH(E$97,'Asphalt Silo &amp; Unloading'!$B$10:$B$44,0),MATCH($Q51,'Asphalt Silo &amp; Unloading'!$D$49:$M$49,0)),""))))))</f>
        <v/>
      </c>
      <c r="F51" s="590" t="str">
        <f>IFERROR(INDEX('Material Handling'!$C$10:$AH$33,MATCH(F$97,Material_Handling[Data],0),MATCH($Q51,'Material Handling'!$C$40:$AH$40,0)), IFERROR(INDEX('Drop Point'!$B$13:$M$36,MATCH(F$97,'Drop Point'!$B$13:$B$37,0),MATCH($Q51,'Drop Point'!$B$41:$M$41,0)),
IFERROR(INDEX('Control - Grain dscf'!$C$11:$N$27,MATCH(F$97,'Control - Grain dscf'!$B$11:$B$27,0),MATCH($Q51,'Control - Grain dscf'!$C$32:$N$32,0)),
IFERROR(INDEX('Control - Alt'!$C$9:$O$27,MATCH(F$97,'Control - Alt'!$B$9:$B$27,0),MATCH($Q51,'Control - Alt'!$C$32:$O$32,0)),
IFERROR(INDEX(Stockpile!$C$10:$M$26,MATCH(F$97,Stockpile!$B$10:$B$26,0),MATCH($Q51,Stockpile!$C$30:$M$30,0)),
IFERROR(INDEX('Asphalt Silo &amp; Unloading'!$D$10:$M$44,MATCH(F$97,'Asphalt Silo &amp; Unloading'!$B$10:$B$44,0),MATCH($Q51,'Asphalt Silo &amp; Unloading'!$D$49:$M$49,0)),""))))))</f>
        <v/>
      </c>
      <c r="G51" s="590" t="str">
        <f>IFERROR(INDEX('Material Handling'!$C$10:$AH$33,MATCH(G$97,Material_Handling[Data],0),MATCH($Q51,'Material Handling'!$C$40:$AH$40,0)), IFERROR(INDEX('Drop Point'!$B$13:$M$36,MATCH(G$97,'Drop Point'!$B$13:$B$37,0),MATCH($Q51,'Drop Point'!$B$41:$M$41,0)),
IFERROR(INDEX('Control - Grain dscf'!$C$11:$N$27,MATCH(G$97,'Control - Grain dscf'!$B$11:$B$27,0),MATCH($Q51,'Control - Grain dscf'!$C$32:$N$32,0)),
IFERROR(INDEX('Control - Alt'!$C$9:$O$27,MATCH(G$97,'Control - Alt'!$B$9:$B$27,0),MATCH($Q51,'Control - Alt'!$C$32:$O$32,0)),
IFERROR(INDEX(Stockpile!$C$10:$M$26,MATCH(G$97,Stockpile!$B$10:$B$26,0),MATCH($Q51,Stockpile!$C$30:$M$30,0)),
IFERROR(INDEX('Asphalt Silo &amp; Unloading'!$D$10:$M$44,MATCH(G$97,'Asphalt Silo &amp; Unloading'!$B$10:$B$44,0),MATCH($Q51,'Asphalt Silo &amp; Unloading'!$D$49:$M$49,0)),""))))))</f>
        <v/>
      </c>
      <c r="H51" s="590" t="str">
        <f>IFERROR(INDEX('Material Handling'!$C$10:$AH$33,MATCH(H$97,Material_Handling[Data],0),MATCH($Q51,'Material Handling'!$C$40:$AH$40,0)), IFERROR(INDEX('Drop Point'!$B$13:$M$36,MATCH(H$97,'Drop Point'!$B$13:$B$37,0),MATCH($Q51,'Drop Point'!$B$41:$M$41,0)),
IFERROR(INDEX('Control - Grain dscf'!$C$11:$N$27,MATCH(H$97,'Control - Grain dscf'!$B$11:$B$27,0),MATCH($Q51,'Control - Grain dscf'!$C$32:$N$32,0)),
IFERROR(INDEX('Control - Alt'!$C$9:$O$27,MATCH(H$97,'Control - Alt'!$B$9:$B$27,0),MATCH($Q51,'Control - Alt'!$C$32:$O$32,0)),
IFERROR(INDEX(Stockpile!$C$10:$M$26,MATCH(H$97,Stockpile!$B$10:$B$26,0),MATCH($Q51,Stockpile!$C$30:$M$30,0)),
IFERROR(INDEX('Asphalt Silo &amp; Unloading'!$D$10:$M$44,MATCH(H$97,'Asphalt Silo &amp; Unloading'!$B$10:$B$44,0),MATCH($Q51,'Asphalt Silo &amp; Unloading'!$D$49:$M$49,0)),""))))))</f>
        <v/>
      </c>
      <c r="I51" s="590" t="str">
        <f>IFERROR(INDEX('Material Handling'!$C$10:$AH$33,MATCH(I$97,Material_Handling[Data],0),MATCH($Q51,'Material Handling'!$C$40:$AH$40,0)), IFERROR(INDEX('Drop Point'!$B$13:$M$36,MATCH(I$97,'Drop Point'!$B$13:$B$37,0),MATCH($Q51,'Drop Point'!$B$41:$M$41,0)),
IFERROR(INDEX('Control - Grain dscf'!$C$11:$N$27,MATCH(I$97,'Control - Grain dscf'!$B$11:$B$27,0),MATCH($Q51,'Control - Grain dscf'!$C$32:$N$32,0)),
IFERROR(INDEX('Control - Alt'!$C$9:$O$27,MATCH(I$97,'Control - Alt'!$B$9:$B$27,0),MATCH($Q51,'Control - Alt'!$C$32:$O$32,0)),
IFERROR(INDEX(Stockpile!$C$10:$M$26,MATCH(I$97,Stockpile!$B$10:$B$26,0),MATCH($Q51,Stockpile!$C$30:$M$30,0)),
IFERROR(INDEX('Asphalt Silo &amp; Unloading'!$D$10:$M$44,MATCH(I$97,'Asphalt Silo &amp; Unloading'!$B$10:$B$44,0),MATCH($Q51,'Asphalt Silo &amp; Unloading'!$D$49:$M$49,0)),""))))))</f>
        <v/>
      </c>
      <c r="J51" s="590" t="str">
        <f>IFERROR(INDEX('Material Handling'!$C$10:$AH$33,MATCH(J$97,Material_Handling[Data],0),MATCH($Q51,'Material Handling'!$C$40:$AH$40,0)), IFERROR(INDEX('Drop Point'!$B$13:$M$36,MATCH(J$97,'Drop Point'!$B$13:$B$37,0),MATCH($Q51,'Drop Point'!$B$41:$M$41,0)),
IFERROR(INDEX('Control - Grain dscf'!$C$11:$N$27,MATCH(J$97,'Control - Grain dscf'!$B$11:$B$27,0),MATCH($Q51,'Control - Grain dscf'!$C$32:$N$32,0)),
IFERROR(INDEX('Control - Alt'!$C$9:$O$27,MATCH(J$97,'Control - Alt'!$B$9:$B$27,0),MATCH($Q51,'Control - Alt'!$C$32:$O$32,0)),
IFERROR(INDEX(Stockpile!$C$10:$M$26,MATCH(J$97,Stockpile!$B$10:$B$26,0),MATCH($Q51,Stockpile!$C$30:$M$30,0)),
IFERROR(INDEX('Asphalt Silo &amp; Unloading'!$D$10:$M$44,MATCH(J$97,'Asphalt Silo &amp; Unloading'!$B$10:$B$44,0),MATCH($Q51,'Asphalt Silo &amp; Unloading'!$D$49:$M$49,0)),""))))))</f>
        <v/>
      </c>
      <c r="K51" s="590" t="str">
        <f>IFERROR(INDEX('Material Handling'!$C$10:$AH$33,MATCH(K$97,Material_Handling[Data],0),MATCH($Q51,'Material Handling'!$C$40:$AH$40,0)), IFERROR(INDEX('Drop Point'!$B$13:$M$36,MATCH(K$97,'Drop Point'!$B$13:$B$37,0),MATCH($Q51,'Drop Point'!$B$41:$M$41,0)),
IFERROR(INDEX('Control - Grain dscf'!$C$11:$N$27,MATCH(K$97,'Control - Grain dscf'!$B$11:$B$27,0),MATCH($Q51,'Control - Grain dscf'!$C$32:$N$32,0)),
IFERROR(INDEX('Control - Alt'!$C$9:$O$27,MATCH(K$97,'Control - Alt'!$B$9:$B$27,0),MATCH($Q51,'Control - Alt'!$C$32:$O$32,0)),
IFERROR(INDEX(Stockpile!$C$10:$M$26,MATCH(K$97,Stockpile!$B$10:$B$26,0),MATCH($Q51,Stockpile!$C$30:$M$30,0)),
IFERROR(INDEX('Asphalt Silo &amp; Unloading'!$D$10:$M$44,MATCH(K$97,'Asphalt Silo &amp; Unloading'!$B$10:$B$44,0),MATCH($Q51,'Asphalt Silo &amp; Unloading'!$D$49:$M$49,0)),""))))))</f>
        <v/>
      </c>
      <c r="L51" s="590" t="str">
        <f>IFERROR(INDEX('Material Handling'!$C$10:$AH$33,MATCH(L$97,Material_Handling[Data],0),MATCH($Q51,'Material Handling'!$C$40:$AH$40,0)), IFERROR(INDEX('Drop Point'!$B$13:$M$36,MATCH(L$97,'Drop Point'!$B$13:$B$37,0),MATCH($Q51,'Drop Point'!$B$41:$M$41,0)),
IFERROR(INDEX('Control - Grain dscf'!$C$11:$N$27,MATCH(L$97,'Control - Grain dscf'!$B$11:$B$27,0),MATCH($Q51,'Control - Grain dscf'!$C$32:$N$32,0)),
IFERROR(INDEX('Control - Alt'!$C$9:$O$27,MATCH(L$97,'Control - Alt'!$B$9:$B$27,0),MATCH($Q51,'Control - Alt'!$C$32:$O$32,0)),
IFERROR(INDEX(Stockpile!$C$10:$M$26,MATCH(L$97,Stockpile!$B$10:$B$26,0),MATCH($Q51,Stockpile!$C$30:$M$30,0)),
IFERROR(INDEX('Asphalt Silo &amp; Unloading'!$D$10:$M$44,MATCH(L$97,'Asphalt Silo &amp; Unloading'!$B$10:$B$44,0),MATCH($Q51,'Asphalt Silo &amp; Unloading'!$D$49:$M$49,0)),""))))))</f>
        <v/>
      </c>
      <c r="M51" s="590" t="str">
        <f>IFERROR(INDEX('Material Handling'!$C$10:$AH$33,MATCH(M$97,Material_Handling[Data],0),MATCH($Q51,'Material Handling'!$C$40:$AH$40,0)), IFERROR(INDEX('Drop Point'!$B$13:$M$36,MATCH(M$97,'Drop Point'!$B$13:$B$37,0),MATCH($Q51,'Drop Point'!$B$41:$M$41,0)),
IFERROR(INDEX('Control - Grain dscf'!$C$11:$N$27,MATCH(M$97,'Control - Grain dscf'!$B$11:$B$27,0),MATCH($Q51,'Control - Grain dscf'!$C$32:$N$32,0)),
IFERROR(INDEX('Control - Alt'!$C$9:$O$27,MATCH(M$97,'Control - Alt'!$B$9:$B$27,0),MATCH($Q51,'Control - Alt'!$C$32:$O$32,0)),
IFERROR(INDEX(Stockpile!$C$10:$M$26,MATCH(M$97,Stockpile!$B$10:$B$26,0),MATCH($Q51,Stockpile!$C$30:$M$30,0)),
IFERROR(INDEX('Asphalt Silo &amp; Unloading'!$D$10:$M$44,MATCH(M$97,'Asphalt Silo &amp; Unloading'!$B$10:$B$44,0),MATCH($Q51,'Asphalt Silo &amp; Unloading'!$D$49:$M$49,0)),""))))))</f>
        <v/>
      </c>
      <c r="N51" s="590" t="str">
        <f>IFERROR(INDEX('Material Handling'!$C$10:$AH$33,MATCH(N$97,Material_Handling[Data],0),MATCH($Q51,'Material Handling'!$C$40:$AH$40,0)), IFERROR(INDEX('Drop Point'!$B$13:$M$36,MATCH(N$97,'Drop Point'!$B$13:$B$37,0),MATCH($Q51,'Drop Point'!$B$41:$M$41,0)),
IFERROR(INDEX('Control - Grain dscf'!$C$11:$N$27,MATCH(N$97,'Control - Grain dscf'!$B$11:$B$27,0),MATCH($Q51,'Control - Grain dscf'!$C$32:$N$32,0)),
IFERROR(INDEX('Control - Alt'!$C$9:$O$27,MATCH(N$97,'Control - Alt'!$B$9:$B$27,0),MATCH($Q51,'Control - Alt'!$C$32:$O$32,0)),
IFERROR(INDEX(Stockpile!$C$10:$M$26,MATCH(N$97,Stockpile!$B$10:$B$26,0),MATCH($Q51,Stockpile!$C$30:$M$30,0)),
IFERROR(INDEX('Asphalt Silo &amp; Unloading'!$D$10:$M$44,MATCH(N$97,'Asphalt Silo &amp; Unloading'!$B$10:$B$44,0),MATCH($Q51,'Asphalt Silo &amp; Unloading'!$D$49:$M$49,0)),""))))))</f>
        <v/>
      </c>
      <c r="O51" s="591" t="str">
        <f>IFERROR(INDEX('Material Handling'!$C$10:$AH$33,MATCH(O$97,Material_Handling[Data],0),MATCH($Q51,'Material Handling'!$C$40:$AH$40,0)), IFERROR(INDEX('Drop Point'!$B$13:$M$36,MATCH(O$97,'Drop Point'!$B$13:$B$37,0),MATCH($Q51,'Drop Point'!$B$41:$M$41,0)),
IFERROR(INDEX('Control - Grain dscf'!$C$11:$N$27,MATCH(O$97,'Control - Grain dscf'!$B$11:$B$27,0),MATCH($Q51,'Control - Grain dscf'!$C$32:$N$32,0)),
IFERROR(INDEX('Control - Alt'!$C$9:$O$27,MATCH(O$97,'Control - Alt'!$B$9:$B$27,0),MATCH($Q51,'Control - Alt'!$C$32:$O$32,0)),
IFERROR(INDEX(Stockpile!$C$10:$M$26,MATCH(O$97,Stockpile!$B$10:$B$26,0),MATCH($Q51,Stockpile!$C$30:$M$30,0)),
IFERROR(INDEX('Asphalt Silo &amp; Unloading'!$D$10:$M$44,MATCH(O$97,'Asphalt Silo &amp; Unloading'!$B$10:$B$44,0),MATCH($Q51,'Asphalt Silo &amp; Unloading'!$D$49:$M$49,0)),""))))))</f>
        <v/>
      </c>
      <c r="Q51" s="131">
        <f t="shared" si="1"/>
        <v>43</v>
      </c>
    </row>
    <row r="52" spans="1:17" ht="20.100000000000001" customHeight="1">
      <c r="A52" s="293" t="str">
        <f>IFERROR(INDEX('Material Handling'!$C$10:$AH$33,MATCH(A$97,Material_Handling[Data],0),MATCH($Q52,'Material Handling'!$C$40:$AH$40,0)), IFERROR(INDEX('Drop Point'!$B$13:$M$36,MATCH(A$97,'Drop Point'!$B$13:$B$37,0),MATCH($Q52,'Drop Point'!$B$41:$M$41,0)),
IFERROR(INDEX('Control - Grain dscf'!$C$11:$N$27,MATCH(A$97,'Control - Grain dscf'!$B$11:$B$27,0),MATCH($Q52,'Control - Grain dscf'!$C$32:$N$32,0)),
IFERROR(INDEX('Control - Alt'!$C$9:$O$27,MATCH(A$97,'Control - Alt'!$B$9:$B$27,0),MATCH($Q52,'Control - Alt'!$C$32:$O$32,0)),
IFERROR(INDEX(Stockpile!$C$10:$M$26,MATCH(A$97,Stockpile!$B$10:$B$26,0),MATCH($Q52,Stockpile!$C$30:$M$30,0)),
IFERROR(INDEX('Asphalt Silo &amp; Unloading'!$D$10:$M$44,MATCH(A$97,'Asphalt Silo &amp; Unloading'!$B$10:$B$44,0),MATCH($Q52,'Asphalt Silo &amp; Unloading'!$D$49:$M$49,0)),""))))))</f>
        <v/>
      </c>
      <c r="B52" s="135" t="str">
        <f>IFERROR(INDEX('Material Handling'!$C$10:$AH$33,MATCH(B$97,Material_Handling[Data],0),MATCH($Q52,'Material Handling'!$C$40:$AH$40,0)), IFERROR(INDEX('Drop Point'!$B$13:$M$36,MATCH(B$97,'Drop Point'!$B$13:$B$37,0),MATCH($Q52,'Drop Point'!$B$41:$M$41,0)),
IFERROR(INDEX('Control - Grain dscf'!$C$11:$N$27,MATCH(B$97,'Control - Grain dscf'!$B$11:$B$27,0),MATCH($Q52,'Control - Grain dscf'!$C$32:$N$32,0)),
IFERROR(INDEX('Control - Alt'!$C$9:$O$27,MATCH(B$97,'Control - Alt'!$B$9:$B$27,0),MATCH($Q52,'Control - Alt'!$C$32:$O$32,0)),
IFERROR(INDEX(Stockpile!$C$10:$M$26,MATCH(B$97,Stockpile!$B$10:$B$26,0),MATCH($Q52,Stockpile!$C$30:$M$30,0)),
IFERROR(INDEX('Asphalt Silo &amp; Unloading'!$D$10:$M$44,MATCH(B$97,'Asphalt Silo &amp; Unloading'!$B$10:$B$44,0),MATCH($Q52,'Asphalt Silo &amp; Unloading'!$D$49:$M$49,0)),""))))))</f>
        <v/>
      </c>
      <c r="C52" s="135" t="str">
        <f>IFERROR(INDEX('Material Handling'!$C$10:$AH$33,MATCH(C$97,Material_Handling[Data],0),MATCH($Q52,'Material Handling'!$C$40:$AH$40,0)), IFERROR(INDEX('Drop Point'!$B$13:$M$36,MATCH(C$97,'Drop Point'!$B$13:$B$37,0),MATCH($Q52,'Drop Point'!$B$41:$M$41,0)),
IFERROR(INDEX('Control - Grain dscf'!$C$11:$N$27,MATCH(C$97,'Control - Grain dscf'!$B$11:$B$27,0),MATCH($Q52,'Control - Grain dscf'!$C$32:$N$32,0)),
IFERROR(INDEX('Control - Alt'!$C$9:$O$27,MATCH(C$97,'Control - Alt'!$B$9:$B$27,0),MATCH($Q52,'Control - Alt'!$C$32:$O$32,0)),
IFERROR(INDEX(Stockpile!$C$10:$M$26,MATCH(C$97,Stockpile!$B$10:$B$26,0),MATCH($Q52,Stockpile!$C$30:$M$30,0)),
IFERROR(INDEX('Asphalt Silo &amp; Unloading'!$D$10:$M$44,MATCH(C$97,'Asphalt Silo &amp; Unloading'!$B$10:$B$44,0),MATCH($Q52,'Asphalt Silo &amp; Unloading'!$D$49:$M$49,0)),""))))))</f>
        <v/>
      </c>
      <c r="D52" s="135" t="str">
        <f>IFERROR(INDEX('Material Handling'!$C$10:$AH$33,MATCH(D$97,Material_Handling[Data],0),MATCH($Q52,'Material Handling'!$C$40:$AH$40,0)), IFERROR(INDEX('Drop Point'!$B$13:$M$36,MATCH(D$97,'Drop Point'!$B$13:$B$37,0),MATCH($Q52,'Drop Point'!$B$41:$M$41,0)),
IFERROR(INDEX('Control - Grain dscf'!$C$11:$N$27,MATCH(D$97,'Control - Grain dscf'!$B$11:$B$27,0),MATCH($Q52,'Control - Grain dscf'!$C$32:$N$32,0)),
IFERROR(INDEX('Control - Alt'!$C$9:$O$27,MATCH(D$97,'Control - Alt'!$B$9:$B$27,0),MATCH($Q52,'Control - Alt'!$C$32:$O$32,0)),
IFERROR(INDEX(Stockpile!$C$10:$M$26,MATCH(D$97,Stockpile!$B$10:$B$26,0),MATCH($Q52,Stockpile!$C$30:$M$30,0)),
IFERROR(INDEX('Asphalt Silo &amp; Unloading'!$D$10:$M$44,MATCH(D$97,'Asphalt Silo &amp; Unloading'!$B$10:$B$44,0),MATCH($Q52,'Asphalt Silo &amp; Unloading'!$D$49:$M$49,0)),""))))))</f>
        <v/>
      </c>
      <c r="E52" s="620" t="str">
        <f>IFERROR(INDEX('Material Handling'!$C$10:$AH$33,MATCH(E$97,Material_Handling[Data],0),MATCH($Q52,'Material Handling'!$C$40:$AH$40,0)), IFERROR(INDEX('Drop Point'!$B$13:$M$36,MATCH(E$97,'Drop Point'!$B$13:$B$37,0),MATCH($Q52,'Drop Point'!$B$41:$M$41,0)),
IFERROR(INDEX('Control - Grain dscf'!$C$11:$N$27,MATCH(E$97,'Control - Grain dscf'!$B$11:$B$27,0),MATCH($Q52,'Control - Grain dscf'!$C$32:$N$32,0)),
IFERROR(INDEX('Control - Alt'!$C$9:$O$27,MATCH(E$97,'Control - Alt'!$B$9:$B$27,0),MATCH($Q52,'Control - Alt'!$C$32:$O$32,0)),
IFERROR(INDEX(Stockpile!$C$10:$M$26,MATCH(E$97,Stockpile!$B$10:$B$26,0),MATCH($Q52,Stockpile!$C$30:$M$30,0)),
IFERROR(INDEX('Asphalt Silo &amp; Unloading'!$D$10:$M$44,MATCH(E$97,'Asphalt Silo &amp; Unloading'!$B$10:$B$44,0),MATCH($Q52,'Asphalt Silo &amp; Unloading'!$D$49:$M$49,0)),""))))))</f>
        <v/>
      </c>
      <c r="F52" s="590" t="str">
        <f>IFERROR(INDEX('Material Handling'!$C$10:$AH$33,MATCH(F$97,Material_Handling[Data],0),MATCH($Q52,'Material Handling'!$C$40:$AH$40,0)), IFERROR(INDEX('Drop Point'!$B$13:$M$36,MATCH(F$97,'Drop Point'!$B$13:$B$37,0),MATCH($Q52,'Drop Point'!$B$41:$M$41,0)),
IFERROR(INDEX('Control - Grain dscf'!$C$11:$N$27,MATCH(F$97,'Control - Grain dscf'!$B$11:$B$27,0),MATCH($Q52,'Control - Grain dscf'!$C$32:$N$32,0)),
IFERROR(INDEX('Control - Alt'!$C$9:$O$27,MATCH(F$97,'Control - Alt'!$B$9:$B$27,0),MATCH($Q52,'Control - Alt'!$C$32:$O$32,0)),
IFERROR(INDEX(Stockpile!$C$10:$M$26,MATCH(F$97,Stockpile!$B$10:$B$26,0),MATCH($Q52,Stockpile!$C$30:$M$30,0)),
IFERROR(INDEX('Asphalt Silo &amp; Unloading'!$D$10:$M$44,MATCH(F$97,'Asphalt Silo &amp; Unloading'!$B$10:$B$44,0),MATCH($Q52,'Asphalt Silo &amp; Unloading'!$D$49:$M$49,0)),""))))))</f>
        <v/>
      </c>
      <c r="G52" s="590" t="str">
        <f>IFERROR(INDEX('Material Handling'!$C$10:$AH$33,MATCH(G$97,Material_Handling[Data],0),MATCH($Q52,'Material Handling'!$C$40:$AH$40,0)), IFERROR(INDEX('Drop Point'!$B$13:$M$36,MATCH(G$97,'Drop Point'!$B$13:$B$37,0),MATCH($Q52,'Drop Point'!$B$41:$M$41,0)),
IFERROR(INDEX('Control - Grain dscf'!$C$11:$N$27,MATCH(G$97,'Control - Grain dscf'!$B$11:$B$27,0),MATCH($Q52,'Control - Grain dscf'!$C$32:$N$32,0)),
IFERROR(INDEX('Control - Alt'!$C$9:$O$27,MATCH(G$97,'Control - Alt'!$B$9:$B$27,0),MATCH($Q52,'Control - Alt'!$C$32:$O$32,0)),
IFERROR(INDEX(Stockpile!$C$10:$M$26,MATCH(G$97,Stockpile!$B$10:$B$26,0),MATCH($Q52,Stockpile!$C$30:$M$30,0)),
IFERROR(INDEX('Asphalt Silo &amp; Unloading'!$D$10:$M$44,MATCH(G$97,'Asphalt Silo &amp; Unloading'!$B$10:$B$44,0),MATCH($Q52,'Asphalt Silo &amp; Unloading'!$D$49:$M$49,0)),""))))))</f>
        <v/>
      </c>
      <c r="H52" s="590" t="str">
        <f>IFERROR(INDEX('Material Handling'!$C$10:$AH$33,MATCH(H$97,Material_Handling[Data],0),MATCH($Q52,'Material Handling'!$C$40:$AH$40,0)), IFERROR(INDEX('Drop Point'!$B$13:$M$36,MATCH(H$97,'Drop Point'!$B$13:$B$37,0),MATCH($Q52,'Drop Point'!$B$41:$M$41,0)),
IFERROR(INDEX('Control - Grain dscf'!$C$11:$N$27,MATCH(H$97,'Control - Grain dscf'!$B$11:$B$27,0),MATCH($Q52,'Control - Grain dscf'!$C$32:$N$32,0)),
IFERROR(INDEX('Control - Alt'!$C$9:$O$27,MATCH(H$97,'Control - Alt'!$B$9:$B$27,0),MATCH($Q52,'Control - Alt'!$C$32:$O$32,0)),
IFERROR(INDEX(Stockpile!$C$10:$M$26,MATCH(H$97,Stockpile!$B$10:$B$26,0),MATCH($Q52,Stockpile!$C$30:$M$30,0)),
IFERROR(INDEX('Asphalt Silo &amp; Unloading'!$D$10:$M$44,MATCH(H$97,'Asphalt Silo &amp; Unloading'!$B$10:$B$44,0),MATCH($Q52,'Asphalt Silo &amp; Unloading'!$D$49:$M$49,0)),""))))))</f>
        <v/>
      </c>
      <c r="I52" s="590" t="str">
        <f>IFERROR(INDEX('Material Handling'!$C$10:$AH$33,MATCH(I$97,Material_Handling[Data],0),MATCH($Q52,'Material Handling'!$C$40:$AH$40,0)), IFERROR(INDEX('Drop Point'!$B$13:$M$36,MATCH(I$97,'Drop Point'!$B$13:$B$37,0),MATCH($Q52,'Drop Point'!$B$41:$M$41,0)),
IFERROR(INDEX('Control - Grain dscf'!$C$11:$N$27,MATCH(I$97,'Control - Grain dscf'!$B$11:$B$27,0),MATCH($Q52,'Control - Grain dscf'!$C$32:$N$32,0)),
IFERROR(INDEX('Control - Alt'!$C$9:$O$27,MATCH(I$97,'Control - Alt'!$B$9:$B$27,0),MATCH($Q52,'Control - Alt'!$C$32:$O$32,0)),
IFERROR(INDEX(Stockpile!$C$10:$M$26,MATCH(I$97,Stockpile!$B$10:$B$26,0),MATCH($Q52,Stockpile!$C$30:$M$30,0)),
IFERROR(INDEX('Asphalt Silo &amp; Unloading'!$D$10:$M$44,MATCH(I$97,'Asphalt Silo &amp; Unloading'!$B$10:$B$44,0),MATCH($Q52,'Asphalt Silo &amp; Unloading'!$D$49:$M$49,0)),""))))))</f>
        <v/>
      </c>
      <c r="J52" s="590" t="str">
        <f>IFERROR(INDEX('Material Handling'!$C$10:$AH$33,MATCH(J$97,Material_Handling[Data],0),MATCH($Q52,'Material Handling'!$C$40:$AH$40,0)), IFERROR(INDEX('Drop Point'!$B$13:$M$36,MATCH(J$97,'Drop Point'!$B$13:$B$37,0),MATCH($Q52,'Drop Point'!$B$41:$M$41,0)),
IFERROR(INDEX('Control - Grain dscf'!$C$11:$N$27,MATCH(J$97,'Control - Grain dscf'!$B$11:$B$27,0),MATCH($Q52,'Control - Grain dscf'!$C$32:$N$32,0)),
IFERROR(INDEX('Control - Alt'!$C$9:$O$27,MATCH(J$97,'Control - Alt'!$B$9:$B$27,0),MATCH($Q52,'Control - Alt'!$C$32:$O$32,0)),
IFERROR(INDEX(Stockpile!$C$10:$M$26,MATCH(J$97,Stockpile!$B$10:$B$26,0),MATCH($Q52,Stockpile!$C$30:$M$30,0)),
IFERROR(INDEX('Asphalt Silo &amp; Unloading'!$D$10:$M$44,MATCH(J$97,'Asphalt Silo &amp; Unloading'!$B$10:$B$44,0),MATCH($Q52,'Asphalt Silo &amp; Unloading'!$D$49:$M$49,0)),""))))))</f>
        <v/>
      </c>
      <c r="K52" s="590" t="str">
        <f>IFERROR(INDEX('Material Handling'!$C$10:$AH$33,MATCH(K$97,Material_Handling[Data],0),MATCH($Q52,'Material Handling'!$C$40:$AH$40,0)), IFERROR(INDEX('Drop Point'!$B$13:$M$36,MATCH(K$97,'Drop Point'!$B$13:$B$37,0),MATCH($Q52,'Drop Point'!$B$41:$M$41,0)),
IFERROR(INDEX('Control - Grain dscf'!$C$11:$N$27,MATCH(K$97,'Control - Grain dscf'!$B$11:$B$27,0),MATCH($Q52,'Control - Grain dscf'!$C$32:$N$32,0)),
IFERROR(INDEX('Control - Alt'!$C$9:$O$27,MATCH(K$97,'Control - Alt'!$B$9:$B$27,0),MATCH($Q52,'Control - Alt'!$C$32:$O$32,0)),
IFERROR(INDEX(Stockpile!$C$10:$M$26,MATCH(K$97,Stockpile!$B$10:$B$26,0),MATCH($Q52,Stockpile!$C$30:$M$30,0)),
IFERROR(INDEX('Asphalt Silo &amp; Unloading'!$D$10:$M$44,MATCH(K$97,'Asphalt Silo &amp; Unloading'!$B$10:$B$44,0),MATCH($Q52,'Asphalt Silo &amp; Unloading'!$D$49:$M$49,0)),""))))))</f>
        <v/>
      </c>
      <c r="L52" s="590" t="str">
        <f>IFERROR(INDEX('Material Handling'!$C$10:$AH$33,MATCH(L$97,Material_Handling[Data],0),MATCH($Q52,'Material Handling'!$C$40:$AH$40,0)), IFERROR(INDEX('Drop Point'!$B$13:$M$36,MATCH(L$97,'Drop Point'!$B$13:$B$37,0),MATCH($Q52,'Drop Point'!$B$41:$M$41,0)),
IFERROR(INDEX('Control - Grain dscf'!$C$11:$N$27,MATCH(L$97,'Control - Grain dscf'!$B$11:$B$27,0),MATCH($Q52,'Control - Grain dscf'!$C$32:$N$32,0)),
IFERROR(INDEX('Control - Alt'!$C$9:$O$27,MATCH(L$97,'Control - Alt'!$B$9:$B$27,0),MATCH($Q52,'Control - Alt'!$C$32:$O$32,0)),
IFERROR(INDEX(Stockpile!$C$10:$M$26,MATCH(L$97,Stockpile!$B$10:$B$26,0),MATCH($Q52,Stockpile!$C$30:$M$30,0)),
IFERROR(INDEX('Asphalt Silo &amp; Unloading'!$D$10:$M$44,MATCH(L$97,'Asphalt Silo &amp; Unloading'!$B$10:$B$44,0),MATCH($Q52,'Asphalt Silo &amp; Unloading'!$D$49:$M$49,0)),""))))))</f>
        <v/>
      </c>
      <c r="M52" s="590" t="str">
        <f>IFERROR(INDEX('Material Handling'!$C$10:$AH$33,MATCH(M$97,Material_Handling[Data],0),MATCH($Q52,'Material Handling'!$C$40:$AH$40,0)), IFERROR(INDEX('Drop Point'!$B$13:$M$36,MATCH(M$97,'Drop Point'!$B$13:$B$37,0),MATCH($Q52,'Drop Point'!$B$41:$M$41,0)),
IFERROR(INDEX('Control - Grain dscf'!$C$11:$N$27,MATCH(M$97,'Control - Grain dscf'!$B$11:$B$27,0),MATCH($Q52,'Control - Grain dscf'!$C$32:$N$32,0)),
IFERROR(INDEX('Control - Alt'!$C$9:$O$27,MATCH(M$97,'Control - Alt'!$B$9:$B$27,0),MATCH($Q52,'Control - Alt'!$C$32:$O$32,0)),
IFERROR(INDEX(Stockpile!$C$10:$M$26,MATCH(M$97,Stockpile!$B$10:$B$26,0),MATCH($Q52,Stockpile!$C$30:$M$30,0)),
IFERROR(INDEX('Asphalt Silo &amp; Unloading'!$D$10:$M$44,MATCH(M$97,'Asphalt Silo &amp; Unloading'!$B$10:$B$44,0),MATCH($Q52,'Asphalt Silo &amp; Unloading'!$D$49:$M$49,0)),""))))))</f>
        <v/>
      </c>
      <c r="N52" s="590" t="str">
        <f>IFERROR(INDEX('Material Handling'!$C$10:$AH$33,MATCH(N$97,Material_Handling[Data],0),MATCH($Q52,'Material Handling'!$C$40:$AH$40,0)), IFERROR(INDEX('Drop Point'!$B$13:$M$36,MATCH(N$97,'Drop Point'!$B$13:$B$37,0),MATCH($Q52,'Drop Point'!$B$41:$M$41,0)),
IFERROR(INDEX('Control - Grain dscf'!$C$11:$N$27,MATCH(N$97,'Control - Grain dscf'!$B$11:$B$27,0),MATCH($Q52,'Control - Grain dscf'!$C$32:$N$32,0)),
IFERROR(INDEX('Control - Alt'!$C$9:$O$27,MATCH(N$97,'Control - Alt'!$B$9:$B$27,0),MATCH($Q52,'Control - Alt'!$C$32:$O$32,0)),
IFERROR(INDEX(Stockpile!$C$10:$M$26,MATCH(N$97,Stockpile!$B$10:$B$26,0),MATCH($Q52,Stockpile!$C$30:$M$30,0)),
IFERROR(INDEX('Asphalt Silo &amp; Unloading'!$D$10:$M$44,MATCH(N$97,'Asphalt Silo &amp; Unloading'!$B$10:$B$44,0),MATCH($Q52,'Asphalt Silo &amp; Unloading'!$D$49:$M$49,0)),""))))))</f>
        <v/>
      </c>
      <c r="O52" s="591" t="str">
        <f>IFERROR(INDEX('Material Handling'!$C$10:$AH$33,MATCH(O$97,Material_Handling[Data],0),MATCH($Q52,'Material Handling'!$C$40:$AH$40,0)), IFERROR(INDEX('Drop Point'!$B$13:$M$36,MATCH(O$97,'Drop Point'!$B$13:$B$37,0),MATCH($Q52,'Drop Point'!$B$41:$M$41,0)),
IFERROR(INDEX('Control - Grain dscf'!$C$11:$N$27,MATCH(O$97,'Control - Grain dscf'!$B$11:$B$27,0),MATCH($Q52,'Control - Grain dscf'!$C$32:$N$32,0)),
IFERROR(INDEX('Control - Alt'!$C$9:$O$27,MATCH(O$97,'Control - Alt'!$B$9:$B$27,0),MATCH($Q52,'Control - Alt'!$C$32:$O$32,0)),
IFERROR(INDEX(Stockpile!$C$10:$M$26,MATCH(O$97,Stockpile!$B$10:$B$26,0),MATCH($Q52,Stockpile!$C$30:$M$30,0)),
IFERROR(INDEX('Asphalt Silo &amp; Unloading'!$D$10:$M$44,MATCH(O$97,'Asphalt Silo &amp; Unloading'!$B$10:$B$44,0),MATCH($Q52,'Asphalt Silo &amp; Unloading'!$D$49:$M$49,0)),""))))))</f>
        <v/>
      </c>
      <c r="Q52" s="131">
        <f t="shared" si="1"/>
        <v>44</v>
      </c>
    </row>
    <row r="53" spans="1:17" ht="20.100000000000001" customHeight="1">
      <c r="A53" s="293" t="str">
        <f>IFERROR(INDEX('Material Handling'!$C$10:$AH$33,MATCH(A$97,Material_Handling[Data],0),MATCH($Q53,'Material Handling'!$C$40:$AH$40,0)), IFERROR(INDEX('Drop Point'!$B$13:$M$36,MATCH(A$97,'Drop Point'!$B$13:$B$37,0),MATCH($Q53,'Drop Point'!$B$41:$M$41,0)),
IFERROR(INDEX('Control - Grain dscf'!$C$11:$N$27,MATCH(A$97,'Control - Grain dscf'!$B$11:$B$27,0),MATCH($Q53,'Control - Grain dscf'!$C$32:$N$32,0)),
IFERROR(INDEX('Control - Alt'!$C$9:$O$27,MATCH(A$97,'Control - Alt'!$B$9:$B$27,0),MATCH($Q53,'Control - Alt'!$C$32:$O$32,0)),
IFERROR(INDEX(Stockpile!$C$10:$M$26,MATCH(A$97,Stockpile!$B$10:$B$26,0),MATCH($Q53,Stockpile!$C$30:$M$30,0)),
IFERROR(INDEX('Asphalt Silo &amp; Unloading'!$D$10:$M$44,MATCH(A$97,'Asphalt Silo &amp; Unloading'!$B$10:$B$44,0),MATCH($Q53,'Asphalt Silo &amp; Unloading'!$D$49:$M$49,0)),""))))))</f>
        <v/>
      </c>
      <c r="B53" s="135" t="str">
        <f>IFERROR(INDEX('Material Handling'!$C$10:$AH$33,MATCH(B$97,Material_Handling[Data],0),MATCH($Q53,'Material Handling'!$C$40:$AH$40,0)), IFERROR(INDEX('Drop Point'!$B$13:$M$36,MATCH(B$97,'Drop Point'!$B$13:$B$37,0),MATCH($Q53,'Drop Point'!$B$41:$M$41,0)),
IFERROR(INDEX('Control - Grain dscf'!$C$11:$N$27,MATCH(B$97,'Control - Grain dscf'!$B$11:$B$27,0),MATCH($Q53,'Control - Grain dscf'!$C$32:$N$32,0)),
IFERROR(INDEX('Control - Alt'!$C$9:$O$27,MATCH(B$97,'Control - Alt'!$B$9:$B$27,0),MATCH($Q53,'Control - Alt'!$C$32:$O$32,0)),
IFERROR(INDEX(Stockpile!$C$10:$M$26,MATCH(B$97,Stockpile!$B$10:$B$26,0),MATCH($Q53,Stockpile!$C$30:$M$30,0)),
IFERROR(INDEX('Asphalt Silo &amp; Unloading'!$D$10:$M$44,MATCH(B$97,'Asphalt Silo &amp; Unloading'!$B$10:$B$44,0),MATCH($Q53,'Asphalt Silo &amp; Unloading'!$D$49:$M$49,0)),""))))))</f>
        <v/>
      </c>
      <c r="C53" s="135" t="str">
        <f>IFERROR(INDEX('Material Handling'!$C$10:$AH$33,MATCH(C$97,Material_Handling[Data],0),MATCH($Q53,'Material Handling'!$C$40:$AH$40,0)), IFERROR(INDEX('Drop Point'!$B$13:$M$36,MATCH(C$97,'Drop Point'!$B$13:$B$37,0),MATCH($Q53,'Drop Point'!$B$41:$M$41,0)),
IFERROR(INDEX('Control - Grain dscf'!$C$11:$N$27,MATCH(C$97,'Control - Grain dscf'!$B$11:$B$27,0),MATCH($Q53,'Control - Grain dscf'!$C$32:$N$32,0)),
IFERROR(INDEX('Control - Alt'!$C$9:$O$27,MATCH(C$97,'Control - Alt'!$B$9:$B$27,0),MATCH($Q53,'Control - Alt'!$C$32:$O$32,0)),
IFERROR(INDEX(Stockpile!$C$10:$M$26,MATCH(C$97,Stockpile!$B$10:$B$26,0),MATCH($Q53,Stockpile!$C$30:$M$30,0)),
IFERROR(INDEX('Asphalt Silo &amp; Unloading'!$D$10:$M$44,MATCH(C$97,'Asphalt Silo &amp; Unloading'!$B$10:$B$44,0),MATCH($Q53,'Asphalt Silo &amp; Unloading'!$D$49:$M$49,0)),""))))))</f>
        <v/>
      </c>
      <c r="D53" s="135" t="str">
        <f>IFERROR(INDEX('Material Handling'!$C$10:$AH$33,MATCH(D$97,Material_Handling[Data],0),MATCH($Q53,'Material Handling'!$C$40:$AH$40,0)), IFERROR(INDEX('Drop Point'!$B$13:$M$36,MATCH(D$97,'Drop Point'!$B$13:$B$37,0),MATCH($Q53,'Drop Point'!$B$41:$M$41,0)),
IFERROR(INDEX('Control - Grain dscf'!$C$11:$N$27,MATCH(D$97,'Control - Grain dscf'!$B$11:$B$27,0),MATCH($Q53,'Control - Grain dscf'!$C$32:$N$32,0)),
IFERROR(INDEX('Control - Alt'!$C$9:$O$27,MATCH(D$97,'Control - Alt'!$B$9:$B$27,0),MATCH($Q53,'Control - Alt'!$C$32:$O$32,0)),
IFERROR(INDEX(Stockpile!$C$10:$M$26,MATCH(D$97,Stockpile!$B$10:$B$26,0),MATCH($Q53,Stockpile!$C$30:$M$30,0)),
IFERROR(INDEX('Asphalt Silo &amp; Unloading'!$D$10:$M$44,MATCH(D$97,'Asphalt Silo &amp; Unloading'!$B$10:$B$44,0),MATCH($Q53,'Asphalt Silo &amp; Unloading'!$D$49:$M$49,0)),""))))))</f>
        <v/>
      </c>
      <c r="E53" s="620" t="str">
        <f>IFERROR(INDEX('Material Handling'!$C$10:$AH$33,MATCH(E$97,Material_Handling[Data],0),MATCH($Q53,'Material Handling'!$C$40:$AH$40,0)), IFERROR(INDEX('Drop Point'!$B$13:$M$36,MATCH(E$97,'Drop Point'!$B$13:$B$37,0),MATCH($Q53,'Drop Point'!$B$41:$M$41,0)),
IFERROR(INDEX('Control - Grain dscf'!$C$11:$N$27,MATCH(E$97,'Control - Grain dscf'!$B$11:$B$27,0),MATCH($Q53,'Control - Grain dscf'!$C$32:$N$32,0)),
IFERROR(INDEX('Control - Alt'!$C$9:$O$27,MATCH(E$97,'Control - Alt'!$B$9:$B$27,0),MATCH($Q53,'Control - Alt'!$C$32:$O$32,0)),
IFERROR(INDEX(Stockpile!$C$10:$M$26,MATCH(E$97,Stockpile!$B$10:$B$26,0),MATCH($Q53,Stockpile!$C$30:$M$30,0)),
IFERROR(INDEX('Asphalt Silo &amp; Unloading'!$D$10:$M$44,MATCH(E$97,'Asphalt Silo &amp; Unloading'!$B$10:$B$44,0),MATCH($Q53,'Asphalt Silo &amp; Unloading'!$D$49:$M$49,0)),""))))))</f>
        <v/>
      </c>
      <c r="F53" s="590" t="str">
        <f>IFERROR(INDEX('Material Handling'!$C$10:$AH$33,MATCH(F$97,Material_Handling[Data],0),MATCH($Q53,'Material Handling'!$C$40:$AH$40,0)), IFERROR(INDEX('Drop Point'!$B$13:$M$36,MATCH(F$97,'Drop Point'!$B$13:$B$37,0),MATCH($Q53,'Drop Point'!$B$41:$M$41,0)),
IFERROR(INDEX('Control - Grain dscf'!$C$11:$N$27,MATCH(F$97,'Control - Grain dscf'!$B$11:$B$27,0),MATCH($Q53,'Control - Grain dscf'!$C$32:$N$32,0)),
IFERROR(INDEX('Control - Alt'!$C$9:$O$27,MATCH(F$97,'Control - Alt'!$B$9:$B$27,0),MATCH($Q53,'Control - Alt'!$C$32:$O$32,0)),
IFERROR(INDEX(Stockpile!$C$10:$M$26,MATCH(F$97,Stockpile!$B$10:$B$26,0),MATCH($Q53,Stockpile!$C$30:$M$30,0)),
IFERROR(INDEX('Asphalt Silo &amp; Unloading'!$D$10:$M$44,MATCH(F$97,'Asphalt Silo &amp; Unloading'!$B$10:$B$44,0),MATCH($Q53,'Asphalt Silo &amp; Unloading'!$D$49:$M$49,0)),""))))))</f>
        <v/>
      </c>
      <c r="G53" s="590" t="str">
        <f>IFERROR(INDEX('Material Handling'!$C$10:$AH$33,MATCH(G$97,Material_Handling[Data],0),MATCH($Q53,'Material Handling'!$C$40:$AH$40,0)), IFERROR(INDEX('Drop Point'!$B$13:$M$36,MATCH(G$97,'Drop Point'!$B$13:$B$37,0),MATCH($Q53,'Drop Point'!$B$41:$M$41,0)),
IFERROR(INDEX('Control - Grain dscf'!$C$11:$N$27,MATCH(G$97,'Control - Grain dscf'!$B$11:$B$27,0),MATCH($Q53,'Control - Grain dscf'!$C$32:$N$32,0)),
IFERROR(INDEX('Control - Alt'!$C$9:$O$27,MATCH(G$97,'Control - Alt'!$B$9:$B$27,0),MATCH($Q53,'Control - Alt'!$C$32:$O$32,0)),
IFERROR(INDEX(Stockpile!$C$10:$M$26,MATCH(G$97,Stockpile!$B$10:$B$26,0),MATCH($Q53,Stockpile!$C$30:$M$30,0)),
IFERROR(INDEX('Asphalt Silo &amp; Unloading'!$D$10:$M$44,MATCH(G$97,'Asphalt Silo &amp; Unloading'!$B$10:$B$44,0),MATCH($Q53,'Asphalt Silo &amp; Unloading'!$D$49:$M$49,0)),""))))))</f>
        <v/>
      </c>
      <c r="H53" s="590" t="str">
        <f>IFERROR(INDEX('Material Handling'!$C$10:$AH$33,MATCH(H$97,Material_Handling[Data],0),MATCH($Q53,'Material Handling'!$C$40:$AH$40,0)), IFERROR(INDEX('Drop Point'!$B$13:$M$36,MATCH(H$97,'Drop Point'!$B$13:$B$37,0),MATCH($Q53,'Drop Point'!$B$41:$M$41,0)),
IFERROR(INDEX('Control - Grain dscf'!$C$11:$N$27,MATCH(H$97,'Control - Grain dscf'!$B$11:$B$27,0),MATCH($Q53,'Control - Grain dscf'!$C$32:$N$32,0)),
IFERROR(INDEX('Control - Alt'!$C$9:$O$27,MATCH(H$97,'Control - Alt'!$B$9:$B$27,0),MATCH($Q53,'Control - Alt'!$C$32:$O$32,0)),
IFERROR(INDEX(Stockpile!$C$10:$M$26,MATCH(H$97,Stockpile!$B$10:$B$26,0),MATCH($Q53,Stockpile!$C$30:$M$30,0)),
IFERROR(INDEX('Asphalt Silo &amp; Unloading'!$D$10:$M$44,MATCH(H$97,'Asphalt Silo &amp; Unloading'!$B$10:$B$44,0),MATCH($Q53,'Asphalt Silo &amp; Unloading'!$D$49:$M$49,0)),""))))))</f>
        <v/>
      </c>
      <c r="I53" s="590" t="str">
        <f>IFERROR(INDEX('Material Handling'!$C$10:$AH$33,MATCH(I$97,Material_Handling[Data],0),MATCH($Q53,'Material Handling'!$C$40:$AH$40,0)), IFERROR(INDEX('Drop Point'!$B$13:$M$36,MATCH(I$97,'Drop Point'!$B$13:$B$37,0),MATCH($Q53,'Drop Point'!$B$41:$M$41,0)),
IFERROR(INDEX('Control - Grain dscf'!$C$11:$N$27,MATCH(I$97,'Control - Grain dscf'!$B$11:$B$27,0),MATCH($Q53,'Control - Grain dscf'!$C$32:$N$32,0)),
IFERROR(INDEX('Control - Alt'!$C$9:$O$27,MATCH(I$97,'Control - Alt'!$B$9:$B$27,0),MATCH($Q53,'Control - Alt'!$C$32:$O$32,0)),
IFERROR(INDEX(Stockpile!$C$10:$M$26,MATCH(I$97,Stockpile!$B$10:$B$26,0),MATCH($Q53,Stockpile!$C$30:$M$30,0)),
IFERROR(INDEX('Asphalt Silo &amp; Unloading'!$D$10:$M$44,MATCH(I$97,'Asphalt Silo &amp; Unloading'!$B$10:$B$44,0),MATCH($Q53,'Asphalt Silo &amp; Unloading'!$D$49:$M$49,0)),""))))))</f>
        <v/>
      </c>
      <c r="J53" s="590" t="str">
        <f>IFERROR(INDEX('Material Handling'!$C$10:$AH$33,MATCH(J$97,Material_Handling[Data],0),MATCH($Q53,'Material Handling'!$C$40:$AH$40,0)), IFERROR(INDEX('Drop Point'!$B$13:$M$36,MATCH(J$97,'Drop Point'!$B$13:$B$37,0),MATCH($Q53,'Drop Point'!$B$41:$M$41,0)),
IFERROR(INDEX('Control - Grain dscf'!$C$11:$N$27,MATCH(J$97,'Control - Grain dscf'!$B$11:$B$27,0),MATCH($Q53,'Control - Grain dscf'!$C$32:$N$32,0)),
IFERROR(INDEX('Control - Alt'!$C$9:$O$27,MATCH(J$97,'Control - Alt'!$B$9:$B$27,0),MATCH($Q53,'Control - Alt'!$C$32:$O$32,0)),
IFERROR(INDEX(Stockpile!$C$10:$M$26,MATCH(J$97,Stockpile!$B$10:$B$26,0),MATCH($Q53,Stockpile!$C$30:$M$30,0)),
IFERROR(INDEX('Asphalt Silo &amp; Unloading'!$D$10:$M$44,MATCH(J$97,'Asphalt Silo &amp; Unloading'!$B$10:$B$44,0),MATCH($Q53,'Asphalt Silo &amp; Unloading'!$D$49:$M$49,0)),""))))))</f>
        <v/>
      </c>
      <c r="K53" s="590" t="str">
        <f>IFERROR(INDEX('Material Handling'!$C$10:$AH$33,MATCH(K$97,Material_Handling[Data],0),MATCH($Q53,'Material Handling'!$C$40:$AH$40,0)), IFERROR(INDEX('Drop Point'!$B$13:$M$36,MATCH(K$97,'Drop Point'!$B$13:$B$37,0),MATCH($Q53,'Drop Point'!$B$41:$M$41,0)),
IFERROR(INDEX('Control - Grain dscf'!$C$11:$N$27,MATCH(K$97,'Control - Grain dscf'!$B$11:$B$27,0),MATCH($Q53,'Control - Grain dscf'!$C$32:$N$32,0)),
IFERROR(INDEX('Control - Alt'!$C$9:$O$27,MATCH(K$97,'Control - Alt'!$B$9:$B$27,0),MATCH($Q53,'Control - Alt'!$C$32:$O$32,0)),
IFERROR(INDEX(Stockpile!$C$10:$M$26,MATCH(K$97,Stockpile!$B$10:$B$26,0),MATCH($Q53,Stockpile!$C$30:$M$30,0)),
IFERROR(INDEX('Asphalt Silo &amp; Unloading'!$D$10:$M$44,MATCH(K$97,'Asphalt Silo &amp; Unloading'!$B$10:$B$44,0),MATCH($Q53,'Asphalt Silo &amp; Unloading'!$D$49:$M$49,0)),""))))))</f>
        <v/>
      </c>
      <c r="L53" s="590" t="str">
        <f>IFERROR(INDEX('Material Handling'!$C$10:$AH$33,MATCH(L$97,Material_Handling[Data],0),MATCH($Q53,'Material Handling'!$C$40:$AH$40,0)), IFERROR(INDEX('Drop Point'!$B$13:$M$36,MATCH(L$97,'Drop Point'!$B$13:$B$37,0),MATCH($Q53,'Drop Point'!$B$41:$M$41,0)),
IFERROR(INDEX('Control - Grain dscf'!$C$11:$N$27,MATCH(L$97,'Control - Grain dscf'!$B$11:$B$27,0),MATCH($Q53,'Control - Grain dscf'!$C$32:$N$32,0)),
IFERROR(INDEX('Control - Alt'!$C$9:$O$27,MATCH(L$97,'Control - Alt'!$B$9:$B$27,0),MATCH($Q53,'Control - Alt'!$C$32:$O$32,0)),
IFERROR(INDEX(Stockpile!$C$10:$M$26,MATCH(L$97,Stockpile!$B$10:$B$26,0),MATCH($Q53,Stockpile!$C$30:$M$30,0)),
IFERROR(INDEX('Asphalt Silo &amp; Unloading'!$D$10:$M$44,MATCH(L$97,'Asphalt Silo &amp; Unloading'!$B$10:$B$44,0),MATCH($Q53,'Asphalt Silo &amp; Unloading'!$D$49:$M$49,0)),""))))))</f>
        <v/>
      </c>
      <c r="M53" s="590" t="str">
        <f>IFERROR(INDEX('Material Handling'!$C$10:$AH$33,MATCH(M$97,Material_Handling[Data],0),MATCH($Q53,'Material Handling'!$C$40:$AH$40,0)), IFERROR(INDEX('Drop Point'!$B$13:$M$36,MATCH(M$97,'Drop Point'!$B$13:$B$37,0),MATCH($Q53,'Drop Point'!$B$41:$M$41,0)),
IFERROR(INDEX('Control - Grain dscf'!$C$11:$N$27,MATCH(M$97,'Control - Grain dscf'!$B$11:$B$27,0),MATCH($Q53,'Control - Grain dscf'!$C$32:$N$32,0)),
IFERROR(INDEX('Control - Alt'!$C$9:$O$27,MATCH(M$97,'Control - Alt'!$B$9:$B$27,0),MATCH($Q53,'Control - Alt'!$C$32:$O$32,0)),
IFERROR(INDEX(Stockpile!$C$10:$M$26,MATCH(M$97,Stockpile!$B$10:$B$26,0),MATCH($Q53,Stockpile!$C$30:$M$30,0)),
IFERROR(INDEX('Asphalt Silo &amp; Unloading'!$D$10:$M$44,MATCH(M$97,'Asphalt Silo &amp; Unloading'!$B$10:$B$44,0),MATCH($Q53,'Asphalt Silo &amp; Unloading'!$D$49:$M$49,0)),""))))))</f>
        <v/>
      </c>
      <c r="N53" s="590" t="str">
        <f>IFERROR(INDEX('Material Handling'!$C$10:$AH$33,MATCH(N$97,Material_Handling[Data],0),MATCH($Q53,'Material Handling'!$C$40:$AH$40,0)), IFERROR(INDEX('Drop Point'!$B$13:$M$36,MATCH(N$97,'Drop Point'!$B$13:$B$37,0),MATCH($Q53,'Drop Point'!$B$41:$M$41,0)),
IFERROR(INDEX('Control - Grain dscf'!$C$11:$N$27,MATCH(N$97,'Control - Grain dscf'!$B$11:$B$27,0),MATCH($Q53,'Control - Grain dscf'!$C$32:$N$32,0)),
IFERROR(INDEX('Control - Alt'!$C$9:$O$27,MATCH(N$97,'Control - Alt'!$B$9:$B$27,0),MATCH($Q53,'Control - Alt'!$C$32:$O$32,0)),
IFERROR(INDEX(Stockpile!$C$10:$M$26,MATCH(N$97,Stockpile!$B$10:$B$26,0),MATCH($Q53,Stockpile!$C$30:$M$30,0)),
IFERROR(INDEX('Asphalt Silo &amp; Unloading'!$D$10:$M$44,MATCH(N$97,'Asphalt Silo &amp; Unloading'!$B$10:$B$44,0),MATCH($Q53,'Asphalt Silo &amp; Unloading'!$D$49:$M$49,0)),""))))))</f>
        <v/>
      </c>
      <c r="O53" s="591" t="str">
        <f>IFERROR(INDEX('Material Handling'!$C$10:$AH$33,MATCH(O$97,Material_Handling[Data],0),MATCH($Q53,'Material Handling'!$C$40:$AH$40,0)), IFERROR(INDEX('Drop Point'!$B$13:$M$36,MATCH(O$97,'Drop Point'!$B$13:$B$37,0),MATCH($Q53,'Drop Point'!$B$41:$M$41,0)),
IFERROR(INDEX('Control - Grain dscf'!$C$11:$N$27,MATCH(O$97,'Control - Grain dscf'!$B$11:$B$27,0),MATCH($Q53,'Control - Grain dscf'!$C$32:$N$32,0)),
IFERROR(INDEX('Control - Alt'!$C$9:$O$27,MATCH(O$97,'Control - Alt'!$B$9:$B$27,0),MATCH($Q53,'Control - Alt'!$C$32:$O$32,0)),
IFERROR(INDEX(Stockpile!$C$10:$M$26,MATCH(O$97,Stockpile!$B$10:$B$26,0),MATCH($Q53,Stockpile!$C$30:$M$30,0)),
IFERROR(INDEX('Asphalt Silo &amp; Unloading'!$D$10:$M$44,MATCH(O$97,'Asphalt Silo &amp; Unloading'!$B$10:$B$44,0),MATCH($Q53,'Asphalt Silo &amp; Unloading'!$D$49:$M$49,0)),""))))))</f>
        <v/>
      </c>
      <c r="Q53" s="131">
        <f t="shared" si="1"/>
        <v>45</v>
      </c>
    </row>
    <row r="54" spans="1:17" ht="20.100000000000001" customHeight="1">
      <c r="A54" s="293" t="str">
        <f>IFERROR(INDEX('Material Handling'!$C$10:$AH$33,MATCH(A$97,Material_Handling[Data],0),MATCH($Q54,'Material Handling'!$C$40:$AH$40,0)), IFERROR(INDEX('Drop Point'!$B$13:$M$36,MATCH(A$97,'Drop Point'!$B$13:$B$37,0),MATCH($Q54,'Drop Point'!$B$41:$M$41,0)),
IFERROR(INDEX('Control - Grain dscf'!$C$11:$N$27,MATCH(A$97,'Control - Grain dscf'!$B$11:$B$27,0),MATCH($Q54,'Control - Grain dscf'!$C$32:$N$32,0)),
IFERROR(INDEX('Control - Alt'!$C$9:$O$27,MATCH(A$97,'Control - Alt'!$B$9:$B$27,0),MATCH($Q54,'Control - Alt'!$C$32:$O$32,0)),
IFERROR(INDEX(Stockpile!$C$10:$M$26,MATCH(A$97,Stockpile!$B$10:$B$26,0),MATCH($Q54,Stockpile!$C$30:$M$30,0)),
IFERROR(INDEX('Asphalt Silo &amp; Unloading'!$D$10:$M$44,MATCH(A$97,'Asphalt Silo &amp; Unloading'!$B$10:$B$44,0),MATCH($Q54,'Asphalt Silo &amp; Unloading'!$D$49:$M$49,0)),""))))))</f>
        <v/>
      </c>
      <c r="B54" s="135" t="str">
        <f>IFERROR(INDEX('Material Handling'!$C$10:$AH$33,MATCH(B$97,Material_Handling[Data],0),MATCH($Q54,'Material Handling'!$C$40:$AH$40,0)), IFERROR(INDEX('Drop Point'!$B$13:$M$36,MATCH(B$97,'Drop Point'!$B$13:$B$37,0),MATCH($Q54,'Drop Point'!$B$41:$M$41,0)),
IFERROR(INDEX('Control - Grain dscf'!$C$11:$N$27,MATCH(B$97,'Control - Grain dscf'!$B$11:$B$27,0),MATCH($Q54,'Control - Grain dscf'!$C$32:$N$32,0)),
IFERROR(INDEX('Control - Alt'!$C$9:$O$27,MATCH(B$97,'Control - Alt'!$B$9:$B$27,0),MATCH($Q54,'Control - Alt'!$C$32:$O$32,0)),
IFERROR(INDEX(Stockpile!$C$10:$M$26,MATCH(B$97,Stockpile!$B$10:$B$26,0),MATCH($Q54,Stockpile!$C$30:$M$30,0)),
IFERROR(INDEX('Asphalt Silo &amp; Unloading'!$D$10:$M$44,MATCH(B$97,'Asphalt Silo &amp; Unloading'!$B$10:$B$44,0),MATCH($Q54,'Asphalt Silo &amp; Unloading'!$D$49:$M$49,0)),""))))))</f>
        <v/>
      </c>
      <c r="C54" s="135" t="str">
        <f>IFERROR(INDEX('Material Handling'!$C$10:$AH$33,MATCH(C$97,Material_Handling[Data],0),MATCH($Q54,'Material Handling'!$C$40:$AH$40,0)), IFERROR(INDEX('Drop Point'!$B$13:$M$36,MATCH(C$97,'Drop Point'!$B$13:$B$37,0),MATCH($Q54,'Drop Point'!$B$41:$M$41,0)),
IFERROR(INDEX('Control - Grain dscf'!$C$11:$N$27,MATCH(C$97,'Control - Grain dscf'!$B$11:$B$27,0),MATCH($Q54,'Control - Grain dscf'!$C$32:$N$32,0)),
IFERROR(INDEX('Control - Alt'!$C$9:$O$27,MATCH(C$97,'Control - Alt'!$B$9:$B$27,0),MATCH($Q54,'Control - Alt'!$C$32:$O$32,0)),
IFERROR(INDEX(Stockpile!$C$10:$M$26,MATCH(C$97,Stockpile!$B$10:$B$26,0),MATCH($Q54,Stockpile!$C$30:$M$30,0)),
IFERROR(INDEX('Asphalt Silo &amp; Unloading'!$D$10:$M$44,MATCH(C$97,'Asphalt Silo &amp; Unloading'!$B$10:$B$44,0),MATCH($Q54,'Asphalt Silo &amp; Unloading'!$D$49:$M$49,0)),""))))))</f>
        <v/>
      </c>
      <c r="D54" s="135" t="str">
        <f>IFERROR(INDEX('Material Handling'!$C$10:$AH$33,MATCH(D$97,Material_Handling[Data],0),MATCH($Q54,'Material Handling'!$C$40:$AH$40,0)), IFERROR(INDEX('Drop Point'!$B$13:$M$36,MATCH(D$97,'Drop Point'!$B$13:$B$37,0),MATCH($Q54,'Drop Point'!$B$41:$M$41,0)),
IFERROR(INDEX('Control - Grain dscf'!$C$11:$N$27,MATCH(D$97,'Control - Grain dscf'!$B$11:$B$27,0),MATCH($Q54,'Control - Grain dscf'!$C$32:$N$32,0)),
IFERROR(INDEX('Control - Alt'!$C$9:$O$27,MATCH(D$97,'Control - Alt'!$B$9:$B$27,0),MATCH($Q54,'Control - Alt'!$C$32:$O$32,0)),
IFERROR(INDEX(Stockpile!$C$10:$M$26,MATCH(D$97,Stockpile!$B$10:$B$26,0),MATCH($Q54,Stockpile!$C$30:$M$30,0)),
IFERROR(INDEX('Asphalt Silo &amp; Unloading'!$D$10:$M$44,MATCH(D$97,'Asphalt Silo &amp; Unloading'!$B$10:$B$44,0),MATCH($Q54,'Asphalt Silo &amp; Unloading'!$D$49:$M$49,0)),""))))))</f>
        <v/>
      </c>
      <c r="E54" s="620" t="str">
        <f>IFERROR(INDEX('Material Handling'!$C$10:$AH$33,MATCH(E$97,Material_Handling[Data],0),MATCH($Q54,'Material Handling'!$C$40:$AH$40,0)), IFERROR(INDEX('Drop Point'!$B$13:$M$36,MATCH(E$97,'Drop Point'!$B$13:$B$37,0),MATCH($Q54,'Drop Point'!$B$41:$M$41,0)),
IFERROR(INDEX('Control - Grain dscf'!$C$11:$N$27,MATCH(E$97,'Control - Grain dscf'!$B$11:$B$27,0),MATCH($Q54,'Control - Grain dscf'!$C$32:$N$32,0)),
IFERROR(INDEX('Control - Alt'!$C$9:$O$27,MATCH(E$97,'Control - Alt'!$B$9:$B$27,0),MATCH($Q54,'Control - Alt'!$C$32:$O$32,0)),
IFERROR(INDEX(Stockpile!$C$10:$M$26,MATCH(E$97,Stockpile!$B$10:$B$26,0),MATCH($Q54,Stockpile!$C$30:$M$30,0)),
IFERROR(INDEX('Asphalt Silo &amp; Unloading'!$D$10:$M$44,MATCH(E$97,'Asphalt Silo &amp; Unloading'!$B$10:$B$44,0),MATCH($Q54,'Asphalt Silo &amp; Unloading'!$D$49:$M$49,0)),""))))))</f>
        <v/>
      </c>
      <c r="F54" s="590" t="str">
        <f>IFERROR(INDEX('Material Handling'!$C$10:$AH$33,MATCH(F$97,Material_Handling[Data],0),MATCH($Q54,'Material Handling'!$C$40:$AH$40,0)), IFERROR(INDEX('Drop Point'!$B$13:$M$36,MATCH(F$97,'Drop Point'!$B$13:$B$37,0),MATCH($Q54,'Drop Point'!$B$41:$M$41,0)),
IFERROR(INDEX('Control - Grain dscf'!$C$11:$N$27,MATCH(F$97,'Control - Grain dscf'!$B$11:$B$27,0),MATCH($Q54,'Control - Grain dscf'!$C$32:$N$32,0)),
IFERROR(INDEX('Control - Alt'!$C$9:$O$27,MATCH(F$97,'Control - Alt'!$B$9:$B$27,0),MATCH($Q54,'Control - Alt'!$C$32:$O$32,0)),
IFERROR(INDEX(Stockpile!$C$10:$M$26,MATCH(F$97,Stockpile!$B$10:$B$26,0),MATCH($Q54,Stockpile!$C$30:$M$30,0)),
IFERROR(INDEX('Asphalt Silo &amp; Unloading'!$D$10:$M$44,MATCH(F$97,'Asphalt Silo &amp; Unloading'!$B$10:$B$44,0),MATCH($Q54,'Asphalt Silo &amp; Unloading'!$D$49:$M$49,0)),""))))))</f>
        <v/>
      </c>
      <c r="G54" s="590" t="str">
        <f>IFERROR(INDEX('Material Handling'!$C$10:$AH$33,MATCH(G$97,Material_Handling[Data],0),MATCH($Q54,'Material Handling'!$C$40:$AH$40,0)), IFERROR(INDEX('Drop Point'!$B$13:$M$36,MATCH(G$97,'Drop Point'!$B$13:$B$37,0),MATCH($Q54,'Drop Point'!$B$41:$M$41,0)),
IFERROR(INDEX('Control - Grain dscf'!$C$11:$N$27,MATCH(G$97,'Control - Grain dscf'!$B$11:$B$27,0),MATCH($Q54,'Control - Grain dscf'!$C$32:$N$32,0)),
IFERROR(INDEX('Control - Alt'!$C$9:$O$27,MATCH(G$97,'Control - Alt'!$B$9:$B$27,0),MATCH($Q54,'Control - Alt'!$C$32:$O$32,0)),
IFERROR(INDEX(Stockpile!$C$10:$M$26,MATCH(G$97,Stockpile!$B$10:$B$26,0),MATCH($Q54,Stockpile!$C$30:$M$30,0)),
IFERROR(INDEX('Asphalt Silo &amp; Unloading'!$D$10:$M$44,MATCH(G$97,'Asphalt Silo &amp; Unloading'!$B$10:$B$44,0),MATCH($Q54,'Asphalt Silo &amp; Unloading'!$D$49:$M$49,0)),""))))))</f>
        <v/>
      </c>
      <c r="H54" s="590" t="str">
        <f>IFERROR(INDEX('Material Handling'!$C$10:$AH$33,MATCH(H$97,Material_Handling[Data],0),MATCH($Q54,'Material Handling'!$C$40:$AH$40,0)), IFERROR(INDEX('Drop Point'!$B$13:$M$36,MATCH(H$97,'Drop Point'!$B$13:$B$37,0),MATCH($Q54,'Drop Point'!$B$41:$M$41,0)),
IFERROR(INDEX('Control - Grain dscf'!$C$11:$N$27,MATCH(H$97,'Control - Grain dscf'!$B$11:$B$27,0),MATCH($Q54,'Control - Grain dscf'!$C$32:$N$32,0)),
IFERROR(INDEX('Control - Alt'!$C$9:$O$27,MATCH(H$97,'Control - Alt'!$B$9:$B$27,0),MATCH($Q54,'Control - Alt'!$C$32:$O$32,0)),
IFERROR(INDEX(Stockpile!$C$10:$M$26,MATCH(H$97,Stockpile!$B$10:$B$26,0),MATCH($Q54,Stockpile!$C$30:$M$30,0)),
IFERROR(INDEX('Asphalt Silo &amp; Unloading'!$D$10:$M$44,MATCH(H$97,'Asphalt Silo &amp; Unloading'!$B$10:$B$44,0),MATCH($Q54,'Asphalt Silo &amp; Unloading'!$D$49:$M$49,0)),""))))))</f>
        <v/>
      </c>
      <c r="I54" s="590" t="str">
        <f>IFERROR(INDEX('Material Handling'!$C$10:$AH$33,MATCH(I$97,Material_Handling[Data],0),MATCH($Q54,'Material Handling'!$C$40:$AH$40,0)), IFERROR(INDEX('Drop Point'!$B$13:$M$36,MATCH(I$97,'Drop Point'!$B$13:$B$37,0),MATCH($Q54,'Drop Point'!$B$41:$M$41,0)),
IFERROR(INDEX('Control - Grain dscf'!$C$11:$N$27,MATCH(I$97,'Control - Grain dscf'!$B$11:$B$27,0),MATCH($Q54,'Control - Grain dscf'!$C$32:$N$32,0)),
IFERROR(INDEX('Control - Alt'!$C$9:$O$27,MATCH(I$97,'Control - Alt'!$B$9:$B$27,0),MATCH($Q54,'Control - Alt'!$C$32:$O$32,0)),
IFERROR(INDEX(Stockpile!$C$10:$M$26,MATCH(I$97,Stockpile!$B$10:$B$26,0),MATCH($Q54,Stockpile!$C$30:$M$30,0)),
IFERROR(INDEX('Asphalt Silo &amp; Unloading'!$D$10:$M$44,MATCH(I$97,'Asphalt Silo &amp; Unloading'!$B$10:$B$44,0),MATCH($Q54,'Asphalt Silo &amp; Unloading'!$D$49:$M$49,0)),""))))))</f>
        <v/>
      </c>
      <c r="J54" s="590" t="str">
        <f>IFERROR(INDEX('Material Handling'!$C$10:$AH$33,MATCH(J$97,Material_Handling[Data],0),MATCH($Q54,'Material Handling'!$C$40:$AH$40,0)), IFERROR(INDEX('Drop Point'!$B$13:$M$36,MATCH(J$97,'Drop Point'!$B$13:$B$37,0),MATCH($Q54,'Drop Point'!$B$41:$M$41,0)),
IFERROR(INDEX('Control - Grain dscf'!$C$11:$N$27,MATCH(J$97,'Control - Grain dscf'!$B$11:$B$27,0),MATCH($Q54,'Control - Grain dscf'!$C$32:$N$32,0)),
IFERROR(INDEX('Control - Alt'!$C$9:$O$27,MATCH(J$97,'Control - Alt'!$B$9:$B$27,0),MATCH($Q54,'Control - Alt'!$C$32:$O$32,0)),
IFERROR(INDEX(Stockpile!$C$10:$M$26,MATCH(J$97,Stockpile!$B$10:$B$26,0),MATCH($Q54,Stockpile!$C$30:$M$30,0)),
IFERROR(INDEX('Asphalt Silo &amp; Unloading'!$D$10:$M$44,MATCH(J$97,'Asphalt Silo &amp; Unloading'!$B$10:$B$44,0),MATCH($Q54,'Asphalt Silo &amp; Unloading'!$D$49:$M$49,0)),""))))))</f>
        <v/>
      </c>
      <c r="K54" s="590" t="str">
        <f>IFERROR(INDEX('Material Handling'!$C$10:$AH$33,MATCH(K$97,Material_Handling[Data],0),MATCH($Q54,'Material Handling'!$C$40:$AH$40,0)), IFERROR(INDEX('Drop Point'!$B$13:$M$36,MATCH(K$97,'Drop Point'!$B$13:$B$37,0),MATCH($Q54,'Drop Point'!$B$41:$M$41,0)),
IFERROR(INDEX('Control - Grain dscf'!$C$11:$N$27,MATCH(K$97,'Control - Grain dscf'!$B$11:$B$27,0),MATCH($Q54,'Control - Grain dscf'!$C$32:$N$32,0)),
IFERROR(INDEX('Control - Alt'!$C$9:$O$27,MATCH(K$97,'Control - Alt'!$B$9:$B$27,0),MATCH($Q54,'Control - Alt'!$C$32:$O$32,0)),
IFERROR(INDEX(Stockpile!$C$10:$M$26,MATCH(K$97,Stockpile!$B$10:$B$26,0),MATCH($Q54,Stockpile!$C$30:$M$30,0)),
IFERROR(INDEX('Asphalt Silo &amp; Unloading'!$D$10:$M$44,MATCH(K$97,'Asphalt Silo &amp; Unloading'!$B$10:$B$44,0),MATCH($Q54,'Asphalt Silo &amp; Unloading'!$D$49:$M$49,0)),""))))))</f>
        <v/>
      </c>
      <c r="L54" s="590" t="str">
        <f>IFERROR(INDEX('Material Handling'!$C$10:$AH$33,MATCH(L$97,Material_Handling[Data],0),MATCH($Q54,'Material Handling'!$C$40:$AH$40,0)), IFERROR(INDEX('Drop Point'!$B$13:$M$36,MATCH(L$97,'Drop Point'!$B$13:$B$37,0),MATCH($Q54,'Drop Point'!$B$41:$M$41,0)),
IFERROR(INDEX('Control - Grain dscf'!$C$11:$N$27,MATCH(L$97,'Control - Grain dscf'!$B$11:$B$27,0),MATCH($Q54,'Control - Grain dscf'!$C$32:$N$32,0)),
IFERROR(INDEX('Control - Alt'!$C$9:$O$27,MATCH(L$97,'Control - Alt'!$B$9:$B$27,0),MATCH($Q54,'Control - Alt'!$C$32:$O$32,0)),
IFERROR(INDEX(Stockpile!$C$10:$M$26,MATCH(L$97,Stockpile!$B$10:$B$26,0),MATCH($Q54,Stockpile!$C$30:$M$30,0)),
IFERROR(INDEX('Asphalt Silo &amp; Unloading'!$D$10:$M$44,MATCH(L$97,'Asphalt Silo &amp; Unloading'!$B$10:$B$44,0),MATCH($Q54,'Asphalt Silo &amp; Unloading'!$D$49:$M$49,0)),""))))))</f>
        <v/>
      </c>
      <c r="M54" s="590" t="str">
        <f>IFERROR(INDEX('Material Handling'!$C$10:$AH$33,MATCH(M$97,Material_Handling[Data],0),MATCH($Q54,'Material Handling'!$C$40:$AH$40,0)), IFERROR(INDEX('Drop Point'!$B$13:$M$36,MATCH(M$97,'Drop Point'!$B$13:$B$37,0),MATCH($Q54,'Drop Point'!$B$41:$M$41,0)),
IFERROR(INDEX('Control - Grain dscf'!$C$11:$N$27,MATCH(M$97,'Control - Grain dscf'!$B$11:$B$27,0),MATCH($Q54,'Control - Grain dscf'!$C$32:$N$32,0)),
IFERROR(INDEX('Control - Alt'!$C$9:$O$27,MATCH(M$97,'Control - Alt'!$B$9:$B$27,0),MATCH($Q54,'Control - Alt'!$C$32:$O$32,0)),
IFERROR(INDEX(Stockpile!$C$10:$M$26,MATCH(M$97,Stockpile!$B$10:$B$26,0),MATCH($Q54,Stockpile!$C$30:$M$30,0)),
IFERROR(INDEX('Asphalt Silo &amp; Unloading'!$D$10:$M$44,MATCH(M$97,'Asphalt Silo &amp; Unloading'!$B$10:$B$44,0),MATCH($Q54,'Asphalt Silo &amp; Unloading'!$D$49:$M$49,0)),""))))))</f>
        <v/>
      </c>
      <c r="N54" s="590" t="str">
        <f>IFERROR(INDEX('Material Handling'!$C$10:$AH$33,MATCH(N$97,Material_Handling[Data],0),MATCH($Q54,'Material Handling'!$C$40:$AH$40,0)), IFERROR(INDEX('Drop Point'!$B$13:$M$36,MATCH(N$97,'Drop Point'!$B$13:$B$37,0),MATCH($Q54,'Drop Point'!$B$41:$M$41,0)),
IFERROR(INDEX('Control - Grain dscf'!$C$11:$N$27,MATCH(N$97,'Control - Grain dscf'!$B$11:$B$27,0),MATCH($Q54,'Control - Grain dscf'!$C$32:$N$32,0)),
IFERROR(INDEX('Control - Alt'!$C$9:$O$27,MATCH(N$97,'Control - Alt'!$B$9:$B$27,0),MATCH($Q54,'Control - Alt'!$C$32:$O$32,0)),
IFERROR(INDEX(Stockpile!$C$10:$M$26,MATCH(N$97,Stockpile!$B$10:$B$26,0),MATCH($Q54,Stockpile!$C$30:$M$30,0)),
IFERROR(INDEX('Asphalt Silo &amp; Unloading'!$D$10:$M$44,MATCH(N$97,'Asphalt Silo &amp; Unloading'!$B$10:$B$44,0),MATCH($Q54,'Asphalt Silo &amp; Unloading'!$D$49:$M$49,0)),""))))))</f>
        <v/>
      </c>
      <c r="O54" s="591" t="str">
        <f>IFERROR(INDEX('Material Handling'!$C$10:$AH$33,MATCH(O$97,Material_Handling[Data],0),MATCH($Q54,'Material Handling'!$C$40:$AH$40,0)), IFERROR(INDEX('Drop Point'!$B$13:$M$36,MATCH(O$97,'Drop Point'!$B$13:$B$37,0),MATCH($Q54,'Drop Point'!$B$41:$M$41,0)),
IFERROR(INDEX('Control - Grain dscf'!$C$11:$N$27,MATCH(O$97,'Control - Grain dscf'!$B$11:$B$27,0),MATCH($Q54,'Control - Grain dscf'!$C$32:$N$32,0)),
IFERROR(INDEX('Control - Alt'!$C$9:$O$27,MATCH(O$97,'Control - Alt'!$B$9:$B$27,0),MATCH($Q54,'Control - Alt'!$C$32:$O$32,0)),
IFERROR(INDEX(Stockpile!$C$10:$M$26,MATCH(O$97,Stockpile!$B$10:$B$26,0),MATCH($Q54,Stockpile!$C$30:$M$30,0)),
IFERROR(INDEX('Asphalt Silo &amp; Unloading'!$D$10:$M$44,MATCH(O$97,'Asphalt Silo &amp; Unloading'!$B$10:$B$44,0),MATCH($Q54,'Asphalt Silo &amp; Unloading'!$D$49:$M$49,0)),""))))))</f>
        <v/>
      </c>
      <c r="Q54" s="131">
        <f t="shared" si="1"/>
        <v>46</v>
      </c>
    </row>
    <row r="55" spans="1:17" ht="20.100000000000001" customHeight="1">
      <c r="A55" s="293" t="str">
        <f>IFERROR(INDEX('Material Handling'!$C$10:$AH$33,MATCH(A$97,Material_Handling[Data],0),MATCH($Q55,'Material Handling'!$C$40:$AH$40,0)), IFERROR(INDEX('Drop Point'!$B$13:$M$36,MATCH(A$97,'Drop Point'!$B$13:$B$37,0),MATCH($Q55,'Drop Point'!$B$41:$M$41,0)),
IFERROR(INDEX('Control - Grain dscf'!$C$11:$N$27,MATCH(A$97,'Control - Grain dscf'!$B$11:$B$27,0),MATCH($Q55,'Control - Grain dscf'!$C$32:$N$32,0)),
IFERROR(INDEX('Control - Alt'!$C$9:$O$27,MATCH(A$97,'Control - Alt'!$B$9:$B$27,0),MATCH($Q55,'Control - Alt'!$C$32:$O$32,0)),
IFERROR(INDEX(Stockpile!$C$10:$M$26,MATCH(A$97,Stockpile!$B$10:$B$26,0),MATCH($Q55,Stockpile!$C$30:$M$30,0)),
IFERROR(INDEX('Asphalt Silo &amp; Unloading'!$D$10:$M$44,MATCH(A$97,'Asphalt Silo &amp; Unloading'!$B$10:$B$44,0),MATCH($Q55,'Asphalt Silo &amp; Unloading'!$D$49:$M$49,0)),""))))))</f>
        <v/>
      </c>
      <c r="B55" s="135" t="str">
        <f>IFERROR(INDEX('Material Handling'!$C$10:$AH$33,MATCH(B$97,Material_Handling[Data],0),MATCH($Q55,'Material Handling'!$C$40:$AH$40,0)), IFERROR(INDEX('Drop Point'!$B$13:$M$36,MATCH(B$97,'Drop Point'!$B$13:$B$37,0),MATCH($Q55,'Drop Point'!$B$41:$M$41,0)),
IFERROR(INDEX('Control - Grain dscf'!$C$11:$N$27,MATCH(B$97,'Control - Grain dscf'!$B$11:$B$27,0),MATCH($Q55,'Control - Grain dscf'!$C$32:$N$32,0)),
IFERROR(INDEX('Control - Alt'!$C$9:$O$27,MATCH(B$97,'Control - Alt'!$B$9:$B$27,0),MATCH($Q55,'Control - Alt'!$C$32:$O$32,0)),
IFERROR(INDEX(Stockpile!$C$10:$M$26,MATCH(B$97,Stockpile!$B$10:$B$26,0),MATCH($Q55,Stockpile!$C$30:$M$30,0)),
IFERROR(INDEX('Asphalt Silo &amp; Unloading'!$D$10:$M$44,MATCH(B$97,'Asphalt Silo &amp; Unloading'!$B$10:$B$44,0),MATCH($Q55,'Asphalt Silo &amp; Unloading'!$D$49:$M$49,0)),""))))))</f>
        <v/>
      </c>
      <c r="C55" s="135" t="str">
        <f>IFERROR(INDEX('Material Handling'!$C$10:$AH$33,MATCH(C$97,Material_Handling[Data],0),MATCH($Q55,'Material Handling'!$C$40:$AH$40,0)), IFERROR(INDEX('Drop Point'!$B$13:$M$36,MATCH(C$97,'Drop Point'!$B$13:$B$37,0),MATCH($Q55,'Drop Point'!$B$41:$M$41,0)),
IFERROR(INDEX('Control - Grain dscf'!$C$11:$N$27,MATCH(C$97,'Control - Grain dscf'!$B$11:$B$27,0),MATCH($Q55,'Control - Grain dscf'!$C$32:$N$32,0)),
IFERROR(INDEX('Control - Alt'!$C$9:$O$27,MATCH(C$97,'Control - Alt'!$B$9:$B$27,0),MATCH($Q55,'Control - Alt'!$C$32:$O$32,0)),
IFERROR(INDEX(Stockpile!$C$10:$M$26,MATCH(C$97,Stockpile!$B$10:$B$26,0),MATCH($Q55,Stockpile!$C$30:$M$30,0)),
IFERROR(INDEX('Asphalt Silo &amp; Unloading'!$D$10:$M$44,MATCH(C$97,'Asphalt Silo &amp; Unloading'!$B$10:$B$44,0),MATCH($Q55,'Asphalt Silo &amp; Unloading'!$D$49:$M$49,0)),""))))))</f>
        <v/>
      </c>
      <c r="D55" s="135" t="str">
        <f>IFERROR(INDEX('Material Handling'!$C$10:$AH$33,MATCH(D$97,Material_Handling[Data],0),MATCH($Q55,'Material Handling'!$C$40:$AH$40,0)), IFERROR(INDEX('Drop Point'!$B$13:$M$36,MATCH(D$97,'Drop Point'!$B$13:$B$37,0),MATCH($Q55,'Drop Point'!$B$41:$M$41,0)),
IFERROR(INDEX('Control - Grain dscf'!$C$11:$N$27,MATCH(D$97,'Control - Grain dscf'!$B$11:$B$27,0),MATCH($Q55,'Control - Grain dscf'!$C$32:$N$32,0)),
IFERROR(INDEX('Control - Alt'!$C$9:$O$27,MATCH(D$97,'Control - Alt'!$B$9:$B$27,0),MATCH($Q55,'Control - Alt'!$C$32:$O$32,0)),
IFERROR(INDEX(Stockpile!$C$10:$M$26,MATCH(D$97,Stockpile!$B$10:$B$26,0),MATCH($Q55,Stockpile!$C$30:$M$30,0)),
IFERROR(INDEX('Asphalt Silo &amp; Unloading'!$D$10:$M$44,MATCH(D$97,'Asphalt Silo &amp; Unloading'!$B$10:$B$44,0),MATCH($Q55,'Asphalt Silo &amp; Unloading'!$D$49:$M$49,0)),""))))))</f>
        <v/>
      </c>
      <c r="E55" s="620" t="str">
        <f>IFERROR(INDEX('Material Handling'!$C$10:$AH$33,MATCH(E$97,Material_Handling[Data],0),MATCH($Q55,'Material Handling'!$C$40:$AH$40,0)), IFERROR(INDEX('Drop Point'!$B$13:$M$36,MATCH(E$97,'Drop Point'!$B$13:$B$37,0),MATCH($Q55,'Drop Point'!$B$41:$M$41,0)),
IFERROR(INDEX('Control - Grain dscf'!$C$11:$N$27,MATCH(E$97,'Control - Grain dscf'!$B$11:$B$27,0),MATCH($Q55,'Control - Grain dscf'!$C$32:$N$32,0)),
IFERROR(INDEX('Control - Alt'!$C$9:$O$27,MATCH(E$97,'Control - Alt'!$B$9:$B$27,0),MATCH($Q55,'Control - Alt'!$C$32:$O$32,0)),
IFERROR(INDEX(Stockpile!$C$10:$M$26,MATCH(E$97,Stockpile!$B$10:$B$26,0),MATCH($Q55,Stockpile!$C$30:$M$30,0)),
IFERROR(INDEX('Asphalt Silo &amp; Unloading'!$D$10:$M$44,MATCH(E$97,'Asphalt Silo &amp; Unloading'!$B$10:$B$44,0),MATCH($Q55,'Asphalt Silo &amp; Unloading'!$D$49:$M$49,0)),""))))))</f>
        <v/>
      </c>
      <c r="F55" s="590" t="str">
        <f>IFERROR(INDEX('Material Handling'!$C$10:$AH$33,MATCH(F$97,Material_Handling[Data],0),MATCH($Q55,'Material Handling'!$C$40:$AH$40,0)), IFERROR(INDEX('Drop Point'!$B$13:$M$36,MATCH(F$97,'Drop Point'!$B$13:$B$37,0),MATCH($Q55,'Drop Point'!$B$41:$M$41,0)),
IFERROR(INDEX('Control - Grain dscf'!$C$11:$N$27,MATCH(F$97,'Control - Grain dscf'!$B$11:$B$27,0),MATCH($Q55,'Control - Grain dscf'!$C$32:$N$32,0)),
IFERROR(INDEX('Control - Alt'!$C$9:$O$27,MATCH(F$97,'Control - Alt'!$B$9:$B$27,0),MATCH($Q55,'Control - Alt'!$C$32:$O$32,0)),
IFERROR(INDEX(Stockpile!$C$10:$M$26,MATCH(F$97,Stockpile!$B$10:$B$26,0),MATCH($Q55,Stockpile!$C$30:$M$30,0)),
IFERROR(INDEX('Asphalt Silo &amp; Unloading'!$D$10:$M$44,MATCH(F$97,'Asphalt Silo &amp; Unloading'!$B$10:$B$44,0),MATCH($Q55,'Asphalt Silo &amp; Unloading'!$D$49:$M$49,0)),""))))))</f>
        <v/>
      </c>
      <c r="G55" s="590" t="str">
        <f>IFERROR(INDEX('Material Handling'!$C$10:$AH$33,MATCH(G$97,Material_Handling[Data],0),MATCH($Q55,'Material Handling'!$C$40:$AH$40,0)), IFERROR(INDEX('Drop Point'!$B$13:$M$36,MATCH(G$97,'Drop Point'!$B$13:$B$37,0),MATCH($Q55,'Drop Point'!$B$41:$M$41,0)),
IFERROR(INDEX('Control - Grain dscf'!$C$11:$N$27,MATCH(G$97,'Control - Grain dscf'!$B$11:$B$27,0),MATCH($Q55,'Control - Grain dscf'!$C$32:$N$32,0)),
IFERROR(INDEX('Control - Alt'!$C$9:$O$27,MATCH(G$97,'Control - Alt'!$B$9:$B$27,0),MATCH($Q55,'Control - Alt'!$C$32:$O$32,0)),
IFERROR(INDEX(Stockpile!$C$10:$M$26,MATCH(G$97,Stockpile!$B$10:$B$26,0),MATCH($Q55,Stockpile!$C$30:$M$30,0)),
IFERROR(INDEX('Asphalt Silo &amp; Unloading'!$D$10:$M$44,MATCH(G$97,'Asphalt Silo &amp; Unloading'!$B$10:$B$44,0),MATCH($Q55,'Asphalt Silo &amp; Unloading'!$D$49:$M$49,0)),""))))))</f>
        <v/>
      </c>
      <c r="H55" s="590" t="str">
        <f>IFERROR(INDEX('Material Handling'!$C$10:$AH$33,MATCH(H$97,Material_Handling[Data],0),MATCH($Q55,'Material Handling'!$C$40:$AH$40,0)), IFERROR(INDEX('Drop Point'!$B$13:$M$36,MATCH(H$97,'Drop Point'!$B$13:$B$37,0),MATCH($Q55,'Drop Point'!$B$41:$M$41,0)),
IFERROR(INDEX('Control - Grain dscf'!$C$11:$N$27,MATCH(H$97,'Control - Grain dscf'!$B$11:$B$27,0),MATCH($Q55,'Control - Grain dscf'!$C$32:$N$32,0)),
IFERROR(INDEX('Control - Alt'!$C$9:$O$27,MATCH(H$97,'Control - Alt'!$B$9:$B$27,0),MATCH($Q55,'Control - Alt'!$C$32:$O$32,0)),
IFERROR(INDEX(Stockpile!$C$10:$M$26,MATCH(H$97,Stockpile!$B$10:$B$26,0),MATCH($Q55,Stockpile!$C$30:$M$30,0)),
IFERROR(INDEX('Asphalt Silo &amp; Unloading'!$D$10:$M$44,MATCH(H$97,'Asphalt Silo &amp; Unloading'!$B$10:$B$44,0),MATCH($Q55,'Asphalt Silo &amp; Unloading'!$D$49:$M$49,0)),""))))))</f>
        <v/>
      </c>
      <c r="I55" s="590" t="str">
        <f>IFERROR(INDEX('Material Handling'!$C$10:$AH$33,MATCH(I$97,Material_Handling[Data],0),MATCH($Q55,'Material Handling'!$C$40:$AH$40,0)), IFERROR(INDEX('Drop Point'!$B$13:$M$36,MATCH(I$97,'Drop Point'!$B$13:$B$37,0),MATCH($Q55,'Drop Point'!$B$41:$M$41,0)),
IFERROR(INDEX('Control - Grain dscf'!$C$11:$N$27,MATCH(I$97,'Control - Grain dscf'!$B$11:$B$27,0),MATCH($Q55,'Control - Grain dscf'!$C$32:$N$32,0)),
IFERROR(INDEX('Control - Alt'!$C$9:$O$27,MATCH(I$97,'Control - Alt'!$B$9:$B$27,0),MATCH($Q55,'Control - Alt'!$C$32:$O$32,0)),
IFERROR(INDEX(Stockpile!$C$10:$M$26,MATCH(I$97,Stockpile!$B$10:$B$26,0),MATCH($Q55,Stockpile!$C$30:$M$30,0)),
IFERROR(INDEX('Asphalt Silo &amp; Unloading'!$D$10:$M$44,MATCH(I$97,'Asphalt Silo &amp; Unloading'!$B$10:$B$44,0),MATCH($Q55,'Asphalt Silo &amp; Unloading'!$D$49:$M$49,0)),""))))))</f>
        <v/>
      </c>
      <c r="J55" s="590" t="str">
        <f>IFERROR(INDEX('Material Handling'!$C$10:$AH$33,MATCH(J$97,Material_Handling[Data],0),MATCH($Q55,'Material Handling'!$C$40:$AH$40,0)), IFERROR(INDEX('Drop Point'!$B$13:$M$36,MATCH(J$97,'Drop Point'!$B$13:$B$37,0),MATCH($Q55,'Drop Point'!$B$41:$M$41,0)),
IFERROR(INDEX('Control - Grain dscf'!$C$11:$N$27,MATCH(J$97,'Control - Grain dscf'!$B$11:$B$27,0),MATCH($Q55,'Control - Grain dscf'!$C$32:$N$32,0)),
IFERROR(INDEX('Control - Alt'!$C$9:$O$27,MATCH(J$97,'Control - Alt'!$B$9:$B$27,0),MATCH($Q55,'Control - Alt'!$C$32:$O$32,0)),
IFERROR(INDEX(Stockpile!$C$10:$M$26,MATCH(J$97,Stockpile!$B$10:$B$26,0),MATCH($Q55,Stockpile!$C$30:$M$30,0)),
IFERROR(INDEX('Asphalt Silo &amp; Unloading'!$D$10:$M$44,MATCH(J$97,'Asphalt Silo &amp; Unloading'!$B$10:$B$44,0),MATCH($Q55,'Asphalt Silo &amp; Unloading'!$D$49:$M$49,0)),""))))))</f>
        <v/>
      </c>
      <c r="K55" s="590" t="str">
        <f>IFERROR(INDEX('Material Handling'!$C$10:$AH$33,MATCH(K$97,Material_Handling[Data],0),MATCH($Q55,'Material Handling'!$C$40:$AH$40,0)), IFERROR(INDEX('Drop Point'!$B$13:$M$36,MATCH(K$97,'Drop Point'!$B$13:$B$37,0),MATCH($Q55,'Drop Point'!$B$41:$M$41,0)),
IFERROR(INDEX('Control - Grain dscf'!$C$11:$N$27,MATCH(K$97,'Control - Grain dscf'!$B$11:$B$27,0),MATCH($Q55,'Control - Grain dscf'!$C$32:$N$32,0)),
IFERROR(INDEX('Control - Alt'!$C$9:$O$27,MATCH(K$97,'Control - Alt'!$B$9:$B$27,0),MATCH($Q55,'Control - Alt'!$C$32:$O$32,0)),
IFERROR(INDEX(Stockpile!$C$10:$M$26,MATCH(K$97,Stockpile!$B$10:$B$26,0),MATCH($Q55,Stockpile!$C$30:$M$30,0)),
IFERROR(INDEX('Asphalt Silo &amp; Unloading'!$D$10:$M$44,MATCH(K$97,'Asphalt Silo &amp; Unloading'!$B$10:$B$44,0),MATCH($Q55,'Asphalt Silo &amp; Unloading'!$D$49:$M$49,0)),""))))))</f>
        <v/>
      </c>
      <c r="L55" s="590" t="str">
        <f>IFERROR(INDEX('Material Handling'!$C$10:$AH$33,MATCH(L$97,Material_Handling[Data],0),MATCH($Q55,'Material Handling'!$C$40:$AH$40,0)), IFERROR(INDEX('Drop Point'!$B$13:$M$36,MATCH(L$97,'Drop Point'!$B$13:$B$37,0),MATCH($Q55,'Drop Point'!$B$41:$M$41,0)),
IFERROR(INDEX('Control - Grain dscf'!$C$11:$N$27,MATCH(L$97,'Control - Grain dscf'!$B$11:$B$27,0),MATCH($Q55,'Control - Grain dscf'!$C$32:$N$32,0)),
IFERROR(INDEX('Control - Alt'!$C$9:$O$27,MATCH(L$97,'Control - Alt'!$B$9:$B$27,0),MATCH($Q55,'Control - Alt'!$C$32:$O$32,0)),
IFERROR(INDEX(Stockpile!$C$10:$M$26,MATCH(L$97,Stockpile!$B$10:$B$26,0),MATCH($Q55,Stockpile!$C$30:$M$30,0)),
IFERROR(INDEX('Asphalt Silo &amp; Unloading'!$D$10:$M$44,MATCH(L$97,'Asphalt Silo &amp; Unloading'!$B$10:$B$44,0),MATCH($Q55,'Asphalt Silo &amp; Unloading'!$D$49:$M$49,0)),""))))))</f>
        <v/>
      </c>
      <c r="M55" s="590" t="str">
        <f>IFERROR(INDEX('Material Handling'!$C$10:$AH$33,MATCH(M$97,Material_Handling[Data],0),MATCH($Q55,'Material Handling'!$C$40:$AH$40,0)), IFERROR(INDEX('Drop Point'!$B$13:$M$36,MATCH(M$97,'Drop Point'!$B$13:$B$37,0),MATCH($Q55,'Drop Point'!$B$41:$M$41,0)),
IFERROR(INDEX('Control - Grain dscf'!$C$11:$N$27,MATCH(M$97,'Control - Grain dscf'!$B$11:$B$27,0),MATCH($Q55,'Control - Grain dscf'!$C$32:$N$32,0)),
IFERROR(INDEX('Control - Alt'!$C$9:$O$27,MATCH(M$97,'Control - Alt'!$B$9:$B$27,0),MATCH($Q55,'Control - Alt'!$C$32:$O$32,0)),
IFERROR(INDEX(Stockpile!$C$10:$M$26,MATCH(M$97,Stockpile!$B$10:$B$26,0),MATCH($Q55,Stockpile!$C$30:$M$30,0)),
IFERROR(INDEX('Asphalt Silo &amp; Unloading'!$D$10:$M$44,MATCH(M$97,'Asphalt Silo &amp; Unloading'!$B$10:$B$44,0),MATCH($Q55,'Asphalt Silo &amp; Unloading'!$D$49:$M$49,0)),""))))))</f>
        <v/>
      </c>
      <c r="N55" s="590" t="str">
        <f>IFERROR(INDEX('Material Handling'!$C$10:$AH$33,MATCH(N$97,Material_Handling[Data],0),MATCH($Q55,'Material Handling'!$C$40:$AH$40,0)), IFERROR(INDEX('Drop Point'!$B$13:$M$36,MATCH(N$97,'Drop Point'!$B$13:$B$37,0),MATCH($Q55,'Drop Point'!$B$41:$M$41,0)),
IFERROR(INDEX('Control - Grain dscf'!$C$11:$N$27,MATCH(N$97,'Control - Grain dscf'!$B$11:$B$27,0),MATCH($Q55,'Control - Grain dscf'!$C$32:$N$32,0)),
IFERROR(INDEX('Control - Alt'!$C$9:$O$27,MATCH(N$97,'Control - Alt'!$B$9:$B$27,0),MATCH($Q55,'Control - Alt'!$C$32:$O$32,0)),
IFERROR(INDEX(Stockpile!$C$10:$M$26,MATCH(N$97,Stockpile!$B$10:$B$26,0),MATCH($Q55,Stockpile!$C$30:$M$30,0)),
IFERROR(INDEX('Asphalt Silo &amp; Unloading'!$D$10:$M$44,MATCH(N$97,'Asphalt Silo &amp; Unloading'!$B$10:$B$44,0),MATCH($Q55,'Asphalt Silo &amp; Unloading'!$D$49:$M$49,0)),""))))))</f>
        <v/>
      </c>
      <c r="O55" s="591" t="str">
        <f>IFERROR(INDEX('Material Handling'!$C$10:$AH$33,MATCH(O$97,Material_Handling[Data],0),MATCH($Q55,'Material Handling'!$C$40:$AH$40,0)), IFERROR(INDEX('Drop Point'!$B$13:$M$36,MATCH(O$97,'Drop Point'!$B$13:$B$37,0),MATCH($Q55,'Drop Point'!$B$41:$M$41,0)),
IFERROR(INDEX('Control - Grain dscf'!$C$11:$N$27,MATCH(O$97,'Control - Grain dscf'!$B$11:$B$27,0),MATCH($Q55,'Control - Grain dscf'!$C$32:$N$32,0)),
IFERROR(INDEX('Control - Alt'!$C$9:$O$27,MATCH(O$97,'Control - Alt'!$B$9:$B$27,0),MATCH($Q55,'Control - Alt'!$C$32:$O$32,0)),
IFERROR(INDEX(Stockpile!$C$10:$M$26,MATCH(O$97,Stockpile!$B$10:$B$26,0),MATCH($Q55,Stockpile!$C$30:$M$30,0)),
IFERROR(INDEX('Asphalt Silo &amp; Unloading'!$D$10:$M$44,MATCH(O$97,'Asphalt Silo &amp; Unloading'!$B$10:$B$44,0),MATCH($Q55,'Asphalt Silo &amp; Unloading'!$D$49:$M$49,0)),""))))))</f>
        <v/>
      </c>
      <c r="Q55" s="131">
        <f t="shared" si="1"/>
        <v>47</v>
      </c>
    </row>
    <row r="56" spans="1:17" ht="20.100000000000001" customHeight="1">
      <c r="A56" s="293" t="str">
        <f>IFERROR(INDEX('Material Handling'!$C$10:$AH$33,MATCH(A$97,Material_Handling[Data],0),MATCH($Q56,'Material Handling'!$C$40:$AH$40,0)), IFERROR(INDEX('Drop Point'!$B$13:$M$36,MATCH(A$97,'Drop Point'!$B$13:$B$37,0),MATCH($Q56,'Drop Point'!$B$41:$M$41,0)),
IFERROR(INDEX('Control - Grain dscf'!$C$11:$N$27,MATCH(A$97,'Control - Grain dscf'!$B$11:$B$27,0),MATCH($Q56,'Control - Grain dscf'!$C$32:$N$32,0)),
IFERROR(INDEX('Control - Alt'!$C$9:$O$27,MATCH(A$97,'Control - Alt'!$B$9:$B$27,0),MATCH($Q56,'Control - Alt'!$C$32:$O$32,0)),
IFERROR(INDEX(Stockpile!$C$10:$M$26,MATCH(A$97,Stockpile!$B$10:$B$26,0),MATCH($Q56,Stockpile!$C$30:$M$30,0)),
IFERROR(INDEX('Asphalt Silo &amp; Unloading'!$D$10:$M$44,MATCH(A$97,'Asphalt Silo &amp; Unloading'!$B$10:$B$44,0),MATCH($Q56,'Asphalt Silo &amp; Unloading'!$D$49:$M$49,0)),""))))))</f>
        <v/>
      </c>
      <c r="B56" s="135" t="str">
        <f>IFERROR(INDEX('Material Handling'!$C$10:$AH$33,MATCH(B$97,Material_Handling[Data],0),MATCH($Q56,'Material Handling'!$C$40:$AH$40,0)), IFERROR(INDEX('Drop Point'!$B$13:$M$36,MATCH(B$97,'Drop Point'!$B$13:$B$37,0),MATCH($Q56,'Drop Point'!$B$41:$M$41,0)),
IFERROR(INDEX('Control - Grain dscf'!$C$11:$N$27,MATCH(B$97,'Control - Grain dscf'!$B$11:$B$27,0),MATCH($Q56,'Control - Grain dscf'!$C$32:$N$32,0)),
IFERROR(INDEX('Control - Alt'!$C$9:$O$27,MATCH(B$97,'Control - Alt'!$B$9:$B$27,0),MATCH($Q56,'Control - Alt'!$C$32:$O$32,0)),
IFERROR(INDEX(Stockpile!$C$10:$M$26,MATCH(B$97,Stockpile!$B$10:$B$26,0),MATCH($Q56,Stockpile!$C$30:$M$30,0)),
IFERROR(INDEX('Asphalt Silo &amp; Unloading'!$D$10:$M$44,MATCH(B$97,'Asphalt Silo &amp; Unloading'!$B$10:$B$44,0),MATCH($Q56,'Asphalt Silo &amp; Unloading'!$D$49:$M$49,0)),""))))))</f>
        <v/>
      </c>
      <c r="C56" s="135" t="str">
        <f>IFERROR(INDEX('Material Handling'!$C$10:$AH$33,MATCH(C$97,Material_Handling[Data],0),MATCH($Q56,'Material Handling'!$C$40:$AH$40,0)), IFERROR(INDEX('Drop Point'!$B$13:$M$36,MATCH(C$97,'Drop Point'!$B$13:$B$37,0),MATCH($Q56,'Drop Point'!$B$41:$M$41,0)),
IFERROR(INDEX('Control - Grain dscf'!$C$11:$N$27,MATCH(C$97,'Control - Grain dscf'!$B$11:$B$27,0),MATCH($Q56,'Control - Grain dscf'!$C$32:$N$32,0)),
IFERROR(INDEX('Control - Alt'!$C$9:$O$27,MATCH(C$97,'Control - Alt'!$B$9:$B$27,0),MATCH($Q56,'Control - Alt'!$C$32:$O$32,0)),
IFERROR(INDEX(Stockpile!$C$10:$M$26,MATCH(C$97,Stockpile!$B$10:$B$26,0),MATCH($Q56,Stockpile!$C$30:$M$30,0)),
IFERROR(INDEX('Asphalt Silo &amp; Unloading'!$D$10:$M$44,MATCH(C$97,'Asphalt Silo &amp; Unloading'!$B$10:$B$44,0),MATCH($Q56,'Asphalt Silo &amp; Unloading'!$D$49:$M$49,0)),""))))))</f>
        <v/>
      </c>
      <c r="D56" s="135" t="str">
        <f>IFERROR(INDEX('Material Handling'!$C$10:$AH$33,MATCH(D$97,Material_Handling[Data],0),MATCH($Q56,'Material Handling'!$C$40:$AH$40,0)), IFERROR(INDEX('Drop Point'!$B$13:$M$36,MATCH(D$97,'Drop Point'!$B$13:$B$37,0),MATCH($Q56,'Drop Point'!$B$41:$M$41,0)),
IFERROR(INDEX('Control - Grain dscf'!$C$11:$N$27,MATCH(D$97,'Control - Grain dscf'!$B$11:$B$27,0),MATCH($Q56,'Control - Grain dscf'!$C$32:$N$32,0)),
IFERROR(INDEX('Control - Alt'!$C$9:$O$27,MATCH(D$97,'Control - Alt'!$B$9:$B$27,0),MATCH($Q56,'Control - Alt'!$C$32:$O$32,0)),
IFERROR(INDEX(Stockpile!$C$10:$M$26,MATCH(D$97,Stockpile!$B$10:$B$26,0),MATCH($Q56,Stockpile!$C$30:$M$30,0)),
IFERROR(INDEX('Asphalt Silo &amp; Unloading'!$D$10:$M$44,MATCH(D$97,'Asphalt Silo &amp; Unloading'!$B$10:$B$44,0),MATCH($Q56,'Asphalt Silo &amp; Unloading'!$D$49:$M$49,0)),""))))))</f>
        <v/>
      </c>
      <c r="E56" s="620" t="str">
        <f>IFERROR(INDEX('Material Handling'!$C$10:$AH$33,MATCH(E$97,Material_Handling[Data],0),MATCH($Q56,'Material Handling'!$C$40:$AH$40,0)), IFERROR(INDEX('Drop Point'!$B$13:$M$36,MATCH(E$97,'Drop Point'!$B$13:$B$37,0),MATCH($Q56,'Drop Point'!$B$41:$M$41,0)),
IFERROR(INDEX('Control - Grain dscf'!$C$11:$N$27,MATCH(E$97,'Control - Grain dscf'!$B$11:$B$27,0),MATCH($Q56,'Control - Grain dscf'!$C$32:$N$32,0)),
IFERROR(INDEX('Control - Alt'!$C$9:$O$27,MATCH(E$97,'Control - Alt'!$B$9:$B$27,0),MATCH($Q56,'Control - Alt'!$C$32:$O$32,0)),
IFERROR(INDEX(Stockpile!$C$10:$M$26,MATCH(E$97,Stockpile!$B$10:$B$26,0),MATCH($Q56,Stockpile!$C$30:$M$30,0)),
IFERROR(INDEX('Asphalt Silo &amp; Unloading'!$D$10:$M$44,MATCH(E$97,'Asphalt Silo &amp; Unloading'!$B$10:$B$44,0),MATCH($Q56,'Asphalt Silo &amp; Unloading'!$D$49:$M$49,0)),""))))))</f>
        <v/>
      </c>
      <c r="F56" s="590" t="str">
        <f>IFERROR(INDEX('Material Handling'!$C$10:$AH$33,MATCH(F$97,Material_Handling[Data],0),MATCH($Q56,'Material Handling'!$C$40:$AH$40,0)), IFERROR(INDEX('Drop Point'!$B$13:$M$36,MATCH(F$97,'Drop Point'!$B$13:$B$37,0),MATCH($Q56,'Drop Point'!$B$41:$M$41,0)),
IFERROR(INDEX('Control - Grain dscf'!$C$11:$N$27,MATCH(F$97,'Control - Grain dscf'!$B$11:$B$27,0),MATCH($Q56,'Control - Grain dscf'!$C$32:$N$32,0)),
IFERROR(INDEX('Control - Alt'!$C$9:$O$27,MATCH(F$97,'Control - Alt'!$B$9:$B$27,0),MATCH($Q56,'Control - Alt'!$C$32:$O$32,0)),
IFERROR(INDEX(Stockpile!$C$10:$M$26,MATCH(F$97,Stockpile!$B$10:$B$26,0),MATCH($Q56,Stockpile!$C$30:$M$30,0)),
IFERROR(INDEX('Asphalt Silo &amp; Unloading'!$D$10:$M$44,MATCH(F$97,'Asphalt Silo &amp; Unloading'!$B$10:$B$44,0),MATCH($Q56,'Asphalt Silo &amp; Unloading'!$D$49:$M$49,0)),""))))))</f>
        <v/>
      </c>
      <c r="G56" s="590" t="str">
        <f>IFERROR(INDEX('Material Handling'!$C$10:$AH$33,MATCH(G$97,Material_Handling[Data],0),MATCH($Q56,'Material Handling'!$C$40:$AH$40,0)), IFERROR(INDEX('Drop Point'!$B$13:$M$36,MATCH(G$97,'Drop Point'!$B$13:$B$37,0),MATCH($Q56,'Drop Point'!$B$41:$M$41,0)),
IFERROR(INDEX('Control - Grain dscf'!$C$11:$N$27,MATCH(G$97,'Control - Grain dscf'!$B$11:$B$27,0),MATCH($Q56,'Control - Grain dscf'!$C$32:$N$32,0)),
IFERROR(INDEX('Control - Alt'!$C$9:$O$27,MATCH(G$97,'Control - Alt'!$B$9:$B$27,0),MATCH($Q56,'Control - Alt'!$C$32:$O$32,0)),
IFERROR(INDEX(Stockpile!$C$10:$M$26,MATCH(G$97,Stockpile!$B$10:$B$26,0),MATCH($Q56,Stockpile!$C$30:$M$30,0)),
IFERROR(INDEX('Asphalt Silo &amp; Unloading'!$D$10:$M$44,MATCH(G$97,'Asphalt Silo &amp; Unloading'!$B$10:$B$44,0),MATCH($Q56,'Asphalt Silo &amp; Unloading'!$D$49:$M$49,0)),""))))))</f>
        <v/>
      </c>
      <c r="H56" s="590" t="str">
        <f>IFERROR(INDEX('Material Handling'!$C$10:$AH$33,MATCH(H$97,Material_Handling[Data],0),MATCH($Q56,'Material Handling'!$C$40:$AH$40,0)), IFERROR(INDEX('Drop Point'!$B$13:$M$36,MATCH(H$97,'Drop Point'!$B$13:$B$37,0),MATCH($Q56,'Drop Point'!$B$41:$M$41,0)),
IFERROR(INDEX('Control - Grain dscf'!$C$11:$N$27,MATCH(H$97,'Control - Grain dscf'!$B$11:$B$27,0),MATCH($Q56,'Control - Grain dscf'!$C$32:$N$32,0)),
IFERROR(INDEX('Control - Alt'!$C$9:$O$27,MATCH(H$97,'Control - Alt'!$B$9:$B$27,0),MATCH($Q56,'Control - Alt'!$C$32:$O$32,0)),
IFERROR(INDEX(Stockpile!$C$10:$M$26,MATCH(H$97,Stockpile!$B$10:$B$26,0),MATCH($Q56,Stockpile!$C$30:$M$30,0)),
IFERROR(INDEX('Asphalt Silo &amp; Unloading'!$D$10:$M$44,MATCH(H$97,'Asphalt Silo &amp; Unloading'!$B$10:$B$44,0),MATCH($Q56,'Asphalt Silo &amp; Unloading'!$D$49:$M$49,0)),""))))))</f>
        <v/>
      </c>
      <c r="I56" s="590" t="str">
        <f>IFERROR(INDEX('Material Handling'!$C$10:$AH$33,MATCH(I$97,Material_Handling[Data],0),MATCH($Q56,'Material Handling'!$C$40:$AH$40,0)), IFERROR(INDEX('Drop Point'!$B$13:$M$36,MATCH(I$97,'Drop Point'!$B$13:$B$37,0),MATCH($Q56,'Drop Point'!$B$41:$M$41,0)),
IFERROR(INDEX('Control - Grain dscf'!$C$11:$N$27,MATCH(I$97,'Control - Grain dscf'!$B$11:$B$27,0),MATCH($Q56,'Control - Grain dscf'!$C$32:$N$32,0)),
IFERROR(INDEX('Control - Alt'!$C$9:$O$27,MATCH(I$97,'Control - Alt'!$B$9:$B$27,0),MATCH($Q56,'Control - Alt'!$C$32:$O$32,0)),
IFERROR(INDEX(Stockpile!$C$10:$M$26,MATCH(I$97,Stockpile!$B$10:$B$26,0),MATCH($Q56,Stockpile!$C$30:$M$30,0)),
IFERROR(INDEX('Asphalt Silo &amp; Unloading'!$D$10:$M$44,MATCH(I$97,'Asphalt Silo &amp; Unloading'!$B$10:$B$44,0),MATCH($Q56,'Asphalt Silo &amp; Unloading'!$D$49:$M$49,0)),""))))))</f>
        <v/>
      </c>
      <c r="J56" s="590" t="str">
        <f>IFERROR(INDEX('Material Handling'!$C$10:$AH$33,MATCH(J$97,Material_Handling[Data],0),MATCH($Q56,'Material Handling'!$C$40:$AH$40,0)), IFERROR(INDEX('Drop Point'!$B$13:$M$36,MATCH(J$97,'Drop Point'!$B$13:$B$37,0),MATCH($Q56,'Drop Point'!$B$41:$M$41,0)),
IFERROR(INDEX('Control - Grain dscf'!$C$11:$N$27,MATCH(J$97,'Control - Grain dscf'!$B$11:$B$27,0),MATCH($Q56,'Control - Grain dscf'!$C$32:$N$32,0)),
IFERROR(INDEX('Control - Alt'!$C$9:$O$27,MATCH(J$97,'Control - Alt'!$B$9:$B$27,0),MATCH($Q56,'Control - Alt'!$C$32:$O$32,0)),
IFERROR(INDEX(Stockpile!$C$10:$M$26,MATCH(J$97,Stockpile!$B$10:$B$26,0),MATCH($Q56,Stockpile!$C$30:$M$30,0)),
IFERROR(INDEX('Asphalt Silo &amp; Unloading'!$D$10:$M$44,MATCH(J$97,'Asphalt Silo &amp; Unloading'!$B$10:$B$44,0),MATCH($Q56,'Asphalt Silo &amp; Unloading'!$D$49:$M$49,0)),""))))))</f>
        <v/>
      </c>
      <c r="K56" s="590" t="str">
        <f>IFERROR(INDEX('Material Handling'!$C$10:$AH$33,MATCH(K$97,Material_Handling[Data],0),MATCH($Q56,'Material Handling'!$C$40:$AH$40,0)), IFERROR(INDEX('Drop Point'!$B$13:$M$36,MATCH(K$97,'Drop Point'!$B$13:$B$37,0),MATCH($Q56,'Drop Point'!$B$41:$M$41,0)),
IFERROR(INDEX('Control - Grain dscf'!$C$11:$N$27,MATCH(K$97,'Control - Grain dscf'!$B$11:$B$27,0),MATCH($Q56,'Control - Grain dscf'!$C$32:$N$32,0)),
IFERROR(INDEX('Control - Alt'!$C$9:$O$27,MATCH(K$97,'Control - Alt'!$B$9:$B$27,0),MATCH($Q56,'Control - Alt'!$C$32:$O$32,0)),
IFERROR(INDEX(Stockpile!$C$10:$M$26,MATCH(K$97,Stockpile!$B$10:$B$26,0),MATCH($Q56,Stockpile!$C$30:$M$30,0)),
IFERROR(INDEX('Asphalt Silo &amp; Unloading'!$D$10:$M$44,MATCH(K$97,'Asphalt Silo &amp; Unloading'!$B$10:$B$44,0),MATCH($Q56,'Asphalt Silo &amp; Unloading'!$D$49:$M$49,0)),""))))))</f>
        <v/>
      </c>
      <c r="L56" s="590" t="str">
        <f>IFERROR(INDEX('Material Handling'!$C$10:$AH$33,MATCH(L$97,Material_Handling[Data],0),MATCH($Q56,'Material Handling'!$C$40:$AH$40,0)), IFERROR(INDEX('Drop Point'!$B$13:$M$36,MATCH(L$97,'Drop Point'!$B$13:$B$37,0),MATCH($Q56,'Drop Point'!$B$41:$M$41,0)),
IFERROR(INDEX('Control - Grain dscf'!$C$11:$N$27,MATCH(L$97,'Control - Grain dscf'!$B$11:$B$27,0),MATCH($Q56,'Control - Grain dscf'!$C$32:$N$32,0)),
IFERROR(INDEX('Control - Alt'!$C$9:$O$27,MATCH(L$97,'Control - Alt'!$B$9:$B$27,0),MATCH($Q56,'Control - Alt'!$C$32:$O$32,0)),
IFERROR(INDEX(Stockpile!$C$10:$M$26,MATCH(L$97,Stockpile!$B$10:$B$26,0),MATCH($Q56,Stockpile!$C$30:$M$30,0)),
IFERROR(INDEX('Asphalt Silo &amp; Unloading'!$D$10:$M$44,MATCH(L$97,'Asphalt Silo &amp; Unloading'!$B$10:$B$44,0),MATCH($Q56,'Asphalt Silo &amp; Unloading'!$D$49:$M$49,0)),""))))))</f>
        <v/>
      </c>
      <c r="M56" s="590" t="str">
        <f>IFERROR(INDEX('Material Handling'!$C$10:$AH$33,MATCH(M$97,Material_Handling[Data],0),MATCH($Q56,'Material Handling'!$C$40:$AH$40,0)), IFERROR(INDEX('Drop Point'!$B$13:$M$36,MATCH(M$97,'Drop Point'!$B$13:$B$37,0),MATCH($Q56,'Drop Point'!$B$41:$M$41,0)),
IFERROR(INDEX('Control - Grain dscf'!$C$11:$N$27,MATCH(M$97,'Control - Grain dscf'!$B$11:$B$27,0),MATCH($Q56,'Control - Grain dscf'!$C$32:$N$32,0)),
IFERROR(INDEX('Control - Alt'!$C$9:$O$27,MATCH(M$97,'Control - Alt'!$B$9:$B$27,0),MATCH($Q56,'Control - Alt'!$C$32:$O$32,0)),
IFERROR(INDEX(Stockpile!$C$10:$M$26,MATCH(M$97,Stockpile!$B$10:$B$26,0),MATCH($Q56,Stockpile!$C$30:$M$30,0)),
IFERROR(INDEX('Asphalt Silo &amp; Unloading'!$D$10:$M$44,MATCH(M$97,'Asphalt Silo &amp; Unloading'!$B$10:$B$44,0),MATCH($Q56,'Asphalt Silo &amp; Unloading'!$D$49:$M$49,0)),""))))))</f>
        <v/>
      </c>
      <c r="N56" s="590" t="str">
        <f>IFERROR(INDEX('Material Handling'!$C$10:$AH$33,MATCH(N$97,Material_Handling[Data],0),MATCH($Q56,'Material Handling'!$C$40:$AH$40,0)), IFERROR(INDEX('Drop Point'!$B$13:$M$36,MATCH(N$97,'Drop Point'!$B$13:$B$37,0),MATCH($Q56,'Drop Point'!$B$41:$M$41,0)),
IFERROR(INDEX('Control - Grain dscf'!$C$11:$N$27,MATCH(N$97,'Control - Grain dscf'!$B$11:$B$27,0),MATCH($Q56,'Control - Grain dscf'!$C$32:$N$32,0)),
IFERROR(INDEX('Control - Alt'!$C$9:$O$27,MATCH(N$97,'Control - Alt'!$B$9:$B$27,0),MATCH($Q56,'Control - Alt'!$C$32:$O$32,0)),
IFERROR(INDEX(Stockpile!$C$10:$M$26,MATCH(N$97,Stockpile!$B$10:$B$26,0),MATCH($Q56,Stockpile!$C$30:$M$30,0)),
IFERROR(INDEX('Asphalt Silo &amp; Unloading'!$D$10:$M$44,MATCH(N$97,'Asphalt Silo &amp; Unloading'!$B$10:$B$44,0),MATCH($Q56,'Asphalt Silo &amp; Unloading'!$D$49:$M$49,0)),""))))))</f>
        <v/>
      </c>
      <c r="O56" s="591" t="str">
        <f>IFERROR(INDEX('Material Handling'!$C$10:$AH$33,MATCH(O$97,Material_Handling[Data],0),MATCH($Q56,'Material Handling'!$C$40:$AH$40,0)), IFERROR(INDEX('Drop Point'!$B$13:$M$36,MATCH(O$97,'Drop Point'!$B$13:$B$37,0),MATCH($Q56,'Drop Point'!$B$41:$M$41,0)),
IFERROR(INDEX('Control - Grain dscf'!$C$11:$N$27,MATCH(O$97,'Control - Grain dscf'!$B$11:$B$27,0),MATCH($Q56,'Control - Grain dscf'!$C$32:$N$32,0)),
IFERROR(INDEX('Control - Alt'!$C$9:$O$27,MATCH(O$97,'Control - Alt'!$B$9:$B$27,0),MATCH($Q56,'Control - Alt'!$C$32:$O$32,0)),
IFERROR(INDEX(Stockpile!$C$10:$M$26,MATCH(O$97,Stockpile!$B$10:$B$26,0),MATCH($Q56,Stockpile!$C$30:$M$30,0)),
IFERROR(INDEX('Asphalt Silo &amp; Unloading'!$D$10:$M$44,MATCH(O$97,'Asphalt Silo &amp; Unloading'!$B$10:$B$44,0),MATCH($Q56,'Asphalt Silo &amp; Unloading'!$D$49:$M$49,0)),""))))))</f>
        <v/>
      </c>
      <c r="Q56" s="131">
        <f t="shared" si="1"/>
        <v>48</v>
      </c>
    </row>
    <row r="57" spans="1:17" ht="20.100000000000001" customHeight="1">
      <c r="A57" s="293" t="str">
        <f>IFERROR(INDEX('Material Handling'!$C$10:$AH$33,MATCH(A$97,Material_Handling[Data],0),MATCH($Q57,'Material Handling'!$C$40:$AH$40,0)), IFERROR(INDEX('Drop Point'!$B$13:$M$36,MATCH(A$97,'Drop Point'!$B$13:$B$37,0),MATCH($Q57,'Drop Point'!$B$41:$M$41,0)),
IFERROR(INDEX('Control - Grain dscf'!$C$11:$N$27,MATCH(A$97,'Control - Grain dscf'!$B$11:$B$27,0),MATCH($Q57,'Control - Grain dscf'!$C$32:$N$32,0)),
IFERROR(INDEX('Control - Alt'!$C$9:$O$27,MATCH(A$97,'Control - Alt'!$B$9:$B$27,0),MATCH($Q57,'Control - Alt'!$C$32:$O$32,0)),
IFERROR(INDEX(Stockpile!$C$10:$M$26,MATCH(A$97,Stockpile!$B$10:$B$26,0),MATCH($Q57,Stockpile!$C$30:$M$30,0)),
IFERROR(INDEX('Asphalt Silo &amp; Unloading'!$D$10:$M$44,MATCH(A$97,'Asphalt Silo &amp; Unloading'!$B$10:$B$44,0),MATCH($Q57,'Asphalt Silo &amp; Unloading'!$D$49:$M$49,0)),""))))))</f>
        <v/>
      </c>
      <c r="B57" s="135" t="str">
        <f>IFERROR(INDEX('Material Handling'!$C$10:$AH$33,MATCH(B$97,Material_Handling[Data],0),MATCH($Q57,'Material Handling'!$C$40:$AH$40,0)), IFERROR(INDEX('Drop Point'!$B$13:$M$36,MATCH(B$97,'Drop Point'!$B$13:$B$37,0),MATCH($Q57,'Drop Point'!$B$41:$M$41,0)),
IFERROR(INDEX('Control - Grain dscf'!$C$11:$N$27,MATCH(B$97,'Control - Grain dscf'!$B$11:$B$27,0),MATCH($Q57,'Control - Grain dscf'!$C$32:$N$32,0)),
IFERROR(INDEX('Control - Alt'!$C$9:$O$27,MATCH(B$97,'Control - Alt'!$B$9:$B$27,0),MATCH($Q57,'Control - Alt'!$C$32:$O$32,0)),
IFERROR(INDEX(Stockpile!$C$10:$M$26,MATCH(B$97,Stockpile!$B$10:$B$26,0),MATCH($Q57,Stockpile!$C$30:$M$30,0)),
IFERROR(INDEX('Asphalt Silo &amp; Unloading'!$D$10:$M$44,MATCH(B$97,'Asphalt Silo &amp; Unloading'!$B$10:$B$44,0),MATCH($Q57,'Asphalt Silo &amp; Unloading'!$D$49:$M$49,0)),""))))))</f>
        <v/>
      </c>
      <c r="C57" s="135" t="str">
        <f>IFERROR(INDEX('Material Handling'!$C$10:$AH$33,MATCH(C$97,Material_Handling[Data],0),MATCH($Q57,'Material Handling'!$C$40:$AH$40,0)), IFERROR(INDEX('Drop Point'!$B$13:$M$36,MATCH(C$97,'Drop Point'!$B$13:$B$37,0),MATCH($Q57,'Drop Point'!$B$41:$M$41,0)),
IFERROR(INDEX('Control - Grain dscf'!$C$11:$N$27,MATCH(C$97,'Control - Grain dscf'!$B$11:$B$27,0),MATCH($Q57,'Control - Grain dscf'!$C$32:$N$32,0)),
IFERROR(INDEX('Control - Alt'!$C$9:$O$27,MATCH(C$97,'Control - Alt'!$B$9:$B$27,0),MATCH($Q57,'Control - Alt'!$C$32:$O$32,0)),
IFERROR(INDEX(Stockpile!$C$10:$M$26,MATCH(C$97,Stockpile!$B$10:$B$26,0),MATCH($Q57,Stockpile!$C$30:$M$30,0)),
IFERROR(INDEX('Asphalt Silo &amp; Unloading'!$D$10:$M$44,MATCH(C$97,'Asphalt Silo &amp; Unloading'!$B$10:$B$44,0),MATCH($Q57,'Asphalt Silo &amp; Unloading'!$D$49:$M$49,0)),""))))))</f>
        <v/>
      </c>
      <c r="D57" s="135" t="str">
        <f>IFERROR(INDEX('Material Handling'!$C$10:$AH$33,MATCH(D$97,Material_Handling[Data],0),MATCH($Q57,'Material Handling'!$C$40:$AH$40,0)), IFERROR(INDEX('Drop Point'!$B$13:$M$36,MATCH(D$97,'Drop Point'!$B$13:$B$37,0),MATCH($Q57,'Drop Point'!$B$41:$M$41,0)),
IFERROR(INDEX('Control - Grain dscf'!$C$11:$N$27,MATCH(D$97,'Control - Grain dscf'!$B$11:$B$27,0),MATCH($Q57,'Control - Grain dscf'!$C$32:$N$32,0)),
IFERROR(INDEX('Control - Alt'!$C$9:$O$27,MATCH(D$97,'Control - Alt'!$B$9:$B$27,0),MATCH($Q57,'Control - Alt'!$C$32:$O$32,0)),
IFERROR(INDEX(Stockpile!$C$10:$M$26,MATCH(D$97,Stockpile!$B$10:$B$26,0),MATCH($Q57,Stockpile!$C$30:$M$30,0)),
IFERROR(INDEX('Asphalt Silo &amp; Unloading'!$D$10:$M$44,MATCH(D$97,'Asphalt Silo &amp; Unloading'!$B$10:$B$44,0),MATCH($Q57,'Asphalt Silo &amp; Unloading'!$D$49:$M$49,0)),""))))))</f>
        <v/>
      </c>
      <c r="E57" s="620" t="str">
        <f>IFERROR(INDEX('Material Handling'!$C$10:$AH$33,MATCH(E$97,Material_Handling[Data],0),MATCH($Q57,'Material Handling'!$C$40:$AH$40,0)), IFERROR(INDEX('Drop Point'!$B$13:$M$36,MATCH(E$97,'Drop Point'!$B$13:$B$37,0),MATCH($Q57,'Drop Point'!$B$41:$M$41,0)),
IFERROR(INDEX('Control - Grain dscf'!$C$11:$N$27,MATCH(E$97,'Control - Grain dscf'!$B$11:$B$27,0),MATCH($Q57,'Control - Grain dscf'!$C$32:$N$32,0)),
IFERROR(INDEX('Control - Alt'!$C$9:$O$27,MATCH(E$97,'Control - Alt'!$B$9:$B$27,0),MATCH($Q57,'Control - Alt'!$C$32:$O$32,0)),
IFERROR(INDEX(Stockpile!$C$10:$M$26,MATCH(E$97,Stockpile!$B$10:$B$26,0),MATCH($Q57,Stockpile!$C$30:$M$30,0)),
IFERROR(INDEX('Asphalt Silo &amp; Unloading'!$D$10:$M$44,MATCH(E$97,'Asphalt Silo &amp; Unloading'!$B$10:$B$44,0),MATCH($Q57,'Asphalt Silo &amp; Unloading'!$D$49:$M$49,0)),""))))))</f>
        <v/>
      </c>
      <c r="F57" s="590" t="str">
        <f>IFERROR(INDEX('Material Handling'!$C$10:$AH$33,MATCH(F$97,Material_Handling[Data],0),MATCH($Q57,'Material Handling'!$C$40:$AH$40,0)), IFERROR(INDEX('Drop Point'!$B$13:$M$36,MATCH(F$97,'Drop Point'!$B$13:$B$37,0),MATCH($Q57,'Drop Point'!$B$41:$M$41,0)),
IFERROR(INDEX('Control - Grain dscf'!$C$11:$N$27,MATCH(F$97,'Control - Grain dscf'!$B$11:$B$27,0),MATCH($Q57,'Control - Grain dscf'!$C$32:$N$32,0)),
IFERROR(INDEX('Control - Alt'!$C$9:$O$27,MATCH(F$97,'Control - Alt'!$B$9:$B$27,0),MATCH($Q57,'Control - Alt'!$C$32:$O$32,0)),
IFERROR(INDEX(Stockpile!$C$10:$M$26,MATCH(F$97,Stockpile!$B$10:$B$26,0),MATCH($Q57,Stockpile!$C$30:$M$30,0)),
IFERROR(INDEX('Asphalt Silo &amp; Unloading'!$D$10:$M$44,MATCH(F$97,'Asphalt Silo &amp; Unloading'!$B$10:$B$44,0),MATCH($Q57,'Asphalt Silo &amp; Unloading'!$D$49:$M$49,0)),""))))))</f>
        <v/>
      </c>
      <c r="G57" s="590" t="str">
        <f>IFERROR(INDEX('Material Handling'!$C$10:$AH$33,MATCH(G$97,Material_Handling[Data],0),MATCH($Q57,'Material Handling'!$C$40:$AH$40,0)), IFERROR(INDEX('Drop Point'!$B$13:$M$36,MATCH(G$97,'Drop Point'!$B$13:$B$37,0),MATCH($Q57,'Drop Point'!$B$41:$M$41,0)),
IFERROR(INDEX('Control - Grain dscf'!$C$11:$N$27,MATCH(G$97,'Control - Grain dscf'!$B$11:$B$27,0),MATCH($Q57,'Control - Grain dscf'!$C$32:$N$32,0)),
IFERROR(INDEX('Control - Alt'!$C$9:$O$27,MATCH(G$97,'Control - Alt'!$B$9:$B$27,0),MATCH($Q57,'Control - Alt'!$C$32:$O$32,0)),
IFERROR(INDEX(Stockpile!$C$10:$M$26,MATCH(G$97,Stockpile!$B$10:$B$26,0),MATCH($Q57,Stockpile!$C$30:$M$30,0)),
IFERROR(INDEX('Asphalt Silo &amp; Unloading'!$D$10:$M$44,MATCH(G$97,'Asphalt Silo &amp; Unloading'!$B$10:$B$44,0),MATCH($Q57,'Asphalt Silo &amp; Unloading'!$D$49:$M$49,0)),""))))))</f>
        <v/>
      </c>
      <c r="H57" s="590" t="str">
        <f>IFERROR(INDEX('Material Handling'!$C$10:$AH$33,MATCH(H$97,Material_Handling[Data],0),MATCH($Q57,'Material Handling'!$C$40:$AH$40,0)), IFERROR(INDEX('Drop Point'!$B$13:$M$36,MATCH(H$97,'Drop Point'!$B$13:$B$37,0),MATCH($Q57,'Drop Point'!$B$41:$M$41,0)),
IFERROR(INDEX('Control - Grain dscf'!$C$11:$N$27,MATCH(H$97,'Control - Grain dscf'!$B$11:$B$27,0),MATCH($Q57,'Control - Grain dscf'!$C$32:$N$32,0)),
IFERROR(INDEX('Control - Alt'!$C$9:$O$27,MATCH(H$97,'Control - Alt'!$B$9:$B$27,0),MATCH($Q57,'Control - Alt'!$C$32:$O$32,0)),
IFERROR(INDEX(Stockpile!$C$10:$M$26,MATCH(H$97,Stockpile!$B$10:$B$26,0),MATCH($Q57,Stockpile!$C$30:$M$30,0)),
IFERROR(INDEX('Asphalt Silo &amp; Unloading'!$D$10:$M$44,MATCH(H$97,'Asphalt Silo &amp; Unloading'!$B$10:$B$44,0),MATCH($Q57,'Asphalt Silo &amp; Unloading'!$D$49:$M$49,0)),""))))))</f>
        <v/>
      </c>
      <c r="I57" s="590" t="str">
        <f>IFERROR(INDEX('Material Handling'!$C$10:$AH$33,MATCH(I$97,Material_Handling[Data],0),MATCH($Q57,'Material Handling'!$C$40:$AH$40,0)), IFERROR(INDEX('Drop Point'!$B$13:$M$36,MATCH(I$97,'Drop Point'!$B$13:$B$37,0),MATCH($Q57,'Drop Point'!$B$41:$M$41,0)),
IFERROR(INDEX('Control - Grain dscf'!$C$11:$N$27,MATCH(I$97,'Control - Grain dscf'!$B$11:$B$27,0),MATCH($Q57,'Control - Grain dscf'!$C$32:$N$32,0)),
IFERROR(INDEX('Control - Alt'!$C$9:$O$27,MATCH(I$97,'Control - Alt'!$B$9:$B$27,0),MATCH($Q57,'Control - Alt'!$C$32:$O$32,0)),
IFERROR(INDEX(Stockpile!$C$10:$M$26,MATCH(I$97,Stockpile!$B$10:$B$26,0),MATCH($Q57,Stockpile!$C$30:$M$30,0)),
IFERROR(INDEX('Asphalt Silo &amp; Unloading'!$D$10:$M$44,MATCH(I$97,'Asphalt Silo &amp; Unloading'!$B$10:$B$44,0),MATCH($Q57,'Asphalt Silo &amp; Unloading'!$D$49:$M$49,0)),""))))))</f>
        <v/>
      </c>
      <c r="J57" s="590" t="str">
        <f>IFERROR(INDEX('Material Handling'!$C$10:$AH$33,MATCH(J$97,Material_Handling[Data],0),MATCH($Q57,'Material Handling'!$C$40:$AH$40,0)), IFERROR(INDEX('Drop Point'!$B$13:$M$36,MATCH(J$97,'Drop Point'!$B$13:$B$37,0),MATCH($Q57,'Drop Point'!$B$41:$M$41,0)),
IFERROR(INDEX('Control - Grain dscf'!$C$11:$N$27,MATCH(J$97,'Control - Grain dscf'!$B$11:$B$27,0),MATCH($Q57,'Control - Grain dscf'!$C$32:$N$32,0)),
IFERROR(INDEX('Control - Alt'!$C$9:$O$27,MATCH(J$97,'Control - Alt'!$B$9:$B$27,0),MATCH($Q57,'Control - Alt'!$C$32:$O$32,0)),
IFERROR(INDEX(Stockpile!$C$10:$M$26,MATCH(J$97,Stockpile!$B$10:$B$26,0),MATCH($Q57,Stockpile!$C$30:$M$30,0)),
IFERROR(INDEX('Asphalt Silo &amp; Unloading'!$D$10:$M$44,MATCH(J$97,'Asphalt Silo &amp; Unloading'!$B$10:$B$44,0),MATCH($Q57,'Asphalt Silo &amp; Unloading'!$D$49:$M$49,0)),""))))))</f>
        <v/>
      </c>
      <c r="K57" s="590" t="str">
        <f>IFERROR(INDEX('Material Handling'!$C$10:$AH$33,MATCH(K$97,Material_Handling[Data],0),MATCH($Q57,'Material Handling'!$C$40:$AH$40,0)), IFERROR(INDEX('Drop Point'!$B$13:$M$36,MATCH(K$97,'Drop Point'!$B$13:$B$37,0),MATCH($Q57,'Drop Point'!$B$41:$M$41,0)),
IFERROR(INDEX('Control - Grain dscf'!$C$11:$N$27,MATCH(K$97,'Control - Grain dscf'!$B$11:$B$27,0),MATCH($Q57,'Control - Grain dscf'!$C$32:$N$32,0)),
IFERROR(INDEX('Control - Alt'!$C$9:$O$27,MATCH(K$97,'Control - Alt'!$B$9:$B$27,0),MATCH($Q57,'Control - Alt'!$C$32:$O$32,0)),
IFERROR(INDEX(Stockpile!$C$10:$M$26,MATCH(K$97,Stockpile!$B$10:$B$26,0),MATCH($Q57,Stockpile!$C$30:$M$30,0)),
IFERROR(INDEX('Asphalt Silo &amp; Unloading'!$D$10:$M$44,MATCH(K$97,'Asphalt Silo &amp; Unloading'!$B$10:$B$44,0),MATCH($Q57,'Asphalt Silo &amp; Unloading'!$D$49:$M$49,0)),""))))))</f>
        <v/>
      </c>
      <c r="L57" s="590" t="str">
        <f>IFERROR(INDEX('Material Handling'!$C$10:$AH$33,MATCH(L$97,Material_Handling[Data],0),MATCH($Q57,'Material Handling'!$C$40:$AH$40,0)), IFERROR(INDEX('Drop Point'!$B$13:$M$36,MATCH(L$97,'Drop Point'!$B$13:$B$37,0),MATCH($Q57,'Drop Point'!$B$41:$M$41,0)),
IFERROR(INDEX('Control - Grain dscf'!$C$11:$N$27,MATCH(L$97,'Control - Grain dscf'!$B$11:$B$27,0),MATCH($Q57,'Control - Grain dscf'!$C$32:$N$32,0)),
IFERROR(INDEX('Control - Alt'!$C$9:$O$27,MATCH(L$97,'Control - Alt'!$B$9:$B$27,0),MATCH($Q57,'Control - Alt'!$C$32:$O$32,0)),
IFERROR(INDEX(Stockpile!$C$10:$M$26,MATCH(L$97,Stockpile!$B$10:$B$26,0),MATCH($Q57,Stockpile!$C$30:$M$30,0)),
IFERROR(INDEX('Asphalt Silo &amp; Unloading'!$D$10:$M$44,MATCH(L$97,'Asphalt Silo &amp; Unloading'!$B$10:$B$44,0),MATCH($Q57,'Asphalt Silo &amp; Unloading'!$D$49:$M$49,0)),""))))))</f>
        <v/>
      </c>
      <c r="M57" s="590" t="str">
        <f>IFERROR(INDEX('Material Handling'!$C$10:$AH$33,MATCH(M$97,Material_Handling[Data],0),MATCH($Q57,'Material Handling'!$C$40:$AH$40,0)), IFERROR(INDEX('Drop Point'!$B$13:$M$36,MATCH(M$97,'Drop Point'!$B$13:$B$37,0),MATCH($Q57,'Drop Point'!$B$41:$M$41,0)),
IFERROR(INDEX('Control - Grain dscf'!$C$11:$N$27,MATCH(M$97,'Control - Grain dscf'!$B$11:$B$27,0),MATCH($Q57,'Control - Grain dscf'!$C$32:$N$32,0)),
IFERROR(INDEX('Control - Alt'!$C$9:$O$27,MATCH(M$97,'Control - Alt'!$B$9:$B$27,0),MATCH($Q57,'Control - Alt'!$C$32:$O$32,0)),
IFERROR(INDEX(Stockpile!$C$10:$M$26,MATCH(M$97,Stockpile!$B$10:$B$26,0),MATCH($Q57,Stockpile!$C$30:$M$30,0)),
IFERROR(INDEX('Asphalt Silo &amp; Unloading'!$D$10:$M$44,MATCH(M$97,'Asphalt Silo &amp; Unloading'!$B$10:$B$44,0),MATCH($Q57,'Asphalt Silo &amp; Unloading'!$D$49:$M$49,0)),""))))))</f>
        <v/>
      </c>
      <c r="N57" s="590" t="str">
        <f>IFERROR(INDEX('Material Handling'!$C$10:$AH$33,MATCH(N$97,Material_Handling[Data],0),MATCH($Q57,'Material Handling'!$C$40:$AH$40,0)), IFERROR(INDEX('Drop Point'!$B$13:$M$36,MATCH(N$97,'Drop Point'!$B$13:$B$37,0),MATCH($Q57,'Drop Point'!$B$41:$M$41,0)),
IFERROR(INDEX('Control - Grain dscf'!$C$11:$N$27,MATCH(N$97,'Control - Grain dscf'!$B$11:$B$27,0),MATCH($Q57,'Control - Grain dscf'!$C$32:$N$32,0)),
IFERROR(INDEX('Control - Alt'!$C$9:$O$27,MATCH(N$97,'Control - Alt'!$B$9:$B$27,0),MATCH($Q57,'Control - Alt'!$C$32:$O$32,0)),
IFERROR(INDEX(Stockpile!$C$10:$M$26,MATCH(N$97,Stockpile!$B$10:$B$26,0),MATCH($Q57,Stockpile!$C$30:$M$30,0)),
IFERROR(INDEX('Asphalt Silo &amp; Unloading'!$D$10:$M$44,MATCH(N$97,'Asphalt Silo &amp; Unloading'!$B$10:$B$44,0),MATCH($Q57,'Asphalt Silo &amp; Unloading'!$D$49:$M$49,0)),""))))))</f>
        <v/>
      </c>
      <c r="O57" s="591" t="str">
        <f>IFERROR(INDEX('Material Handling'!$C$10:$AH$33,MATCH(O$97,Material_Handling[Data],0),MATCH($Q57,'Material Handling'!$C$40:$AH$40,0)), IFERROR(INDEX('Drop Point'!$B$13:$M$36,MATCH(O$97,'Drop Point'!$B$13:$B$37,0),MATCH($Q57,'Drop Point'!$B$41:$M$41,0)),
IFERROR(INDEX('Control - Grain dscf'!$C$11:$N$27,MATCH(O$97,'Control - Grain dscf'!$B$11:$B$27,0),MATCH($Q57,'Control - Grain dscf'!$C$32:$N$32,0)),
IFERROR(INDEX('Control - Alt'!$C$9:$O$27,MATCH(O$97,'Control - Alt'!$B$9:$B$27,0),MATCH($Q57,'Control - Alt'!$C$32:$O$32,0)),
IFERROR(INDEX(Stockpile!$C$10:$M$26,MATCH(O$97,Stockpile!$B$10:$B$26,0),MATCH($Q57,Stockpile!$C$30:$M$30,0)),
IFERROR(INDEX('Asphalt Silo &amp; Unloading'!$D$10:$M$44,MATCH(O$97,'Asphalt Silo &amp; Unloading'!$B$10:$B$44,0),MATCH($Q57,'Asphalt Silo &amp; Unloading'!$D$49:$M$49,0)),""))))))</f>
        <v/>
      </c>
      <c r="Q57" s="131">
        <f t="shared" si="1"/>
        <v>49</v>
      </c>
    </row>
    <row r="58" spans="1:17" ht="20.100000000000001" customHeight="1">
      <c r="A58" s="293" t="str">
        <f>IFERROR(INDEX('Material Handling'!$C$10:$AH$33,MATCH(A$97,Material_Handling[Data],0),MATCH($Q58,'Material Handling'!$C$40:$AH$40,0)), IFERROR(INDEX('Drop Point'!$B$13:$M$36,MATCH(A$97,'Drop Point'!$B$13:$B$37,0),MATCH($Q58,'Drop Point'!$B$41:$M$41,0)),
IFERROR(INDEX('Control - Grain dscf'!$C$11:$N$27,MATCH(A$97,'Control - Grain dscf'!$B$11:$B$27,0),MATCH($Q58,'Control - Grain dscf'!$C$32:$N$32,0)),
IFERROR(INDEX('Control - Alt'!$C$9:$O$27,MATCH(A$97,'Control - Alt'!$B$9:$B$27,0),MATCH($Q58,'Control - Alt'!$C$32:$O$32,0)),
IFERROR(INDEX(Stockpile!$C$10:$M$26,MATCH(A$97,Stockpile!$B$10:$B$26,0),MATCH($Q58,Stockpile!$C$30:$M$30,0)),
IFERROR(INDEX('Asphalt Silo &amp; Unloading'!$D$10:$M$44,MATCH(A$97,'Asphalt Silo &amp; Unloading'!$B$10:$B$44,0),MATCH($Q58,'Asphalt Silo &amp; Unloading'!$D$49:$M$49,0)),""))))))</f>
        <v/>
      </c>
      <c r="B58" s="135" t="str">
        <f>IFERROR(INDEX('Material Handling'!$C$10:$AH$33,MATCH(B$97,Material_Handling[Data],0),MATCH($Q58,'Material Handling'!$C$40:$AH$40,0)), IFERROR(INDEX('Drop Point'!$B$13:$M$36,MATCH(B$97,'Drop Point'!$B$13:$B$37,0),MATCH($Q58,'Drop Point'!$B$41:$M$41,0)),
IFERROR(INDEX('Control - Grain dscf'!$C$11:$N$27,MATCH(B$97,'Control - Grain dscf'!$B$11:$B$27,0),MATCH($Q58,'Control - Grain dscf'!$C$32:$N$32,0)),
IFERROR(INDEX('Control - Alt'!$C$9:$O$27,MATCH(B$97,'Control - Alt'!$B$9:$B$27,0),MATCH($Q58,'Control - Alt'!$C$32:$O$32,0)),
IFERROR(INDEX(Stockpile!$C$10:$M$26,MATCH(B$97,Stockpile!$B$10:$B$26,0),MATCH($Q58,Stockpile!$C$30:$M$30,0)),
IFERROR(INDEX('Asphalt Silo &amp; Unloading'!$D$10:$M$44,MATCH(B$97,'Asphalt Silo &amp; Unloading'!$B$10:$B$44,0),MATCH($Q58,'Asphalt Silo &amp; Unloading'!$D$49:$M$49,0)),""))))))</f>
        <v/>
      </c>
      <c r="C58" s="135" t="str">
        <f>IFERROR(INDEX('Material Handling'!$C$10:$AH$33,MATCH(C$97,Material_Handling[Data],0),MATCH($Q58,'Material Handling'!$C$40:$AH$40,0)), IFERROR(INDEX('Drop Point'!$B$13:$M$36,MATCH(C$97,'Drop Point'!$B$13:$B$37,0),MATCH($Q58,'Drop Point'!$B$41:$M$41,0)),
IFERROR(INDEX('Control - Grain dscf'!$C$11:$N$27,MATCH(C$97,'Control - Grain dscf'!$B$11:$B$27,0),MATCH($Q58,'Control - Grain dscf'!$C$32:$N$32,0)),
IFERROR(INDEX('Control - Alt'!$C$9:$O$27,MATCH(C$97,'Control - Alt'!$B$9:$B$27,0),MATCH($Q58,'Control - Alt'!$C$32:$O$32,0)),
IFERROR(INDEX(Stockpile!$C$10:$M$26,MATCH(C$97,Stockpile!$B$10:$B$26,0),MATCH($Q58,Stockpile!$C$30:$M$30,0)),
IFERROR(INDEX('Asphalt Silo &amp; Unloading'!$D$10:$M$44,MATCH(C$97,'Asphalt Silo &amp; Unloading'!$B$10:$B$44,0),MATCH($Q58,'Asphalt Silo &amp; Unloading'!$D$49:$M$49,0)),""))))))</f>
        <v/>
      </c>
      <c r="D58" s="135" t="str">
        <f>IFERROR(INDEX('Material Handling'!$C$10:$AH$33,MATCH(D$97,Material_Handling[Data],0),MATCH($Q58,'Material Handling'!$C$40:$AH$40,0)), IFERROR(INDEX('Drop Point'!$B$13:$M$36,MATCH(D$97,'Drop Point'!$B$13:$B$37,0),MATCH($Q58,'Drop Point'!$B$41:$M$41,0)),
IFERROR(INDEX('Control - Grain dscf'!$C$11:$N$27,MATCH(D$97,'Control - Grain dscf'!$B$11:$B$27,0),MATCH($Q58,'Control - Grain dscf'!$C$32:$N$32,0)),
IFERROR(INDEX('Control - Alt'!$C$9:$O$27,MATCH(D$97,'Control - Alt'!$B$9:$B$27,0),MATCH($Q58,'Control - Alt'!$C$32:$O$32,0)),
IFERROR(INDEX(Stockpile!$C$10:$M$26,MATCH(D$97,Stockpile!$B$10:$B$26,0),MATCH($Q58,Stockpile!$C$30:$M$30,0)),
IFERROR(INDEX('Asphalt Silo &amp; Unloading'!$D$10:$M$44,MATCH(D$97,'Asphalt Silo &amp; Unloading'!$B$10:$B$44,0),MATCH($Q58,'Asphalt Silo &amp; Unloading'!$D$49:$M$49,0)),""))))))</f>
        <v/>
      </c>
      <c r="E58" s="620" t="str">
        <f>IFERROR(INDEX('Material Handling'!$C$10:$AH$33,MATCH(E$97,Material_Handling[Data],0),MATCH($Q58,'Material Handling'!$C$40:$AH$40,0)), IFERROR(INDEX('Drop Point'!$B$13:$M$36,MATCH(E$97,'Drop Point'!$B$13:$B$37,0),MATCH($Q58,'Drop Point'!$B$41:$M$41,0)),
IFERROR(INDEX('Control - Grain dscf'!$C$11:$N$27,MATCH(E$97,'Control - Grain dscf'!$B$11:$B$27,0),MATCH($Q58,'Control - Grain dscf'!$C$32:$N$32,0)),
IFERROR(INDEX('Control - Alt'!$C$9:$O$27,MATCH(E$97,'Control - Alt'!$B$9:$B$27,0),MATCH($Q58,'Control - Alt'!$C$32:$O$32,0)),
IFERROR(INDEX(Stockpile!$C$10:$M$26,MATCH(E$97,Stockpile!$B$10:$B$26,0),MATCH($Q58,Stockpile!$C$30:$M$30,0)),
IFERROR(INDEX('Asphalt Silo &amp; Unloading'!$D$10:$M$44,MATCH(E$97,'Asphalt Silo &amp; Unloading'!$B$10:$B$44,0),MATCH($Q58,'Asphalt Silo &amp; Unloading'!$D$49:$M$49,0)),""))))))</f>
        <v/>
      </c>
      <c r="F58" s="590" t="str">
        <f>IFERROR(INDEX('Material Handling'!$C$10:$AH$33,MATCH(F$97,Material_Handling[Data],0),MATCH($Q58,'Material Handling'!$C$40:$AH$40,0)), IFERROR(INDEX('Drop Point'!$B$13:$M$36,MATCH(F$97,'Drop Point'!$B$13:$B$37,0),MATCH($Q58,'Drop Point'!$B$41:$M$41,0)),
IFERROR(INDEX('Control - Grain dscf'!$C$11:$N$27,MATCH(F$97,'Control - Grain dscf'!$B$11:$B$27,0),MATCH($Q58,'Control - Grain dscf'!$C$32:$N$32,0)),
IFERROR(INDEX('Control - Alt'!$C$9:$O$27,MATCH(F$97,'Control - Alt'!$B$9:$B$27,0),MATCH($Q58,'Control - Alt'!$C$32:$O$32,0)),
IFERROR(INDEX(Stockpile!$C$10:$M$26,MATCH(F$97,Stockpile!$B$10:$B$26,0),MATCH($Q58,Stockpile!$C$30:$M$30,0)),
IFERROR(INDEX('Asphalt Silo &amp; Unloading'!$D$10:$M$44,MATCH(F$97,'Asphalt Silo &amp; Unloading'!$B$10:$B$44,0),MATCH($Q58,'Asphalt Silo &amp; Unloading'!$D$49:$M$49,0)),""))))))</f>
        <v/>
      </c>
      <c r="G58" s="590" t="str">
        <f>IFERROR(INDEX('Material Handling'!$C$10:$AH$33,MATCH(G$97,Material_Handling[Data],0),MATCH($Q58,'Material Handling'!$C$40:$AH$40,0)), IFERROR(INDEX('Drop Point'!$B$13:$M$36,MATCH(G$97,'Drop Point'!$B$13:$B$37,0),MATCH($Q58,'Drop Point'!$B$41:$M$41,0)),
IFERROR(INDEX('Control - Grain dscf'!$C$11:$N$27,MATCH(G$97,'Control - Grain dscf'!$B$11:$B$27,0),MATCH($Q58,'Control - Grain dscf'!$C$32:$N$32,0)),
IFERROR(INDEX('Control - Alt'!$C$9:$O$27,MATCH(G$97,'Control - Alt'!$B$9:$B$27,0),MATCH($Q58,'Control - Alt'!$C$32:$O$32,0)),
IFERROR(INDEX(Stockpile!$C$10:$M$26,MATCH(G$97,Stockpile!$B$10:$B$26,0),MATCH($Q58,Stockpile!$C$30:$M$30,0)),
IFERROR(INDEX('Asphalt Silo &amp; Unloading'!$D$10:$M$44,MATCH(G$97,'Asphalt Silo &amp; Unloading'!$B$10:$B$44,0),MATCH($Q58,'Asphalt Silo &amp; Unloading'!$D$49:$M$49,0)),""))))))</f>
        <v/>
      </c>
      <c r="H58" s="590" t="str">
        <f>IFERROR(INDEX('Material Handling'!$C$10:$AH$33,MATCH(H$97,Material_Handling[Data],0),MATCH($Q58,'Material Handling'!$C$40:$AH$40,0)), IFERROR(INDEX('Drop Point'!$B$13:$M$36,MATCH(H$97,'Drop Point'!$B$13:$B$37,0),MATCH($Q58,'Drop Point'!$B$41:$M$41,0)),
IFERROR(INDEX('Control - Grain dscf'!$C$11:$N$27,MATCH(H$97,'Control - Grain dscf'!$B$11:$B$27,0),MATCH($Q58,'Control - Grain dscf'!$C$32:$N$32,0)),
IFERROR(INDEX('Control - Alt'!$C$9:$O$27,MATCH(H$97,'Control - Alt'!$B$9:$B$27,0),MATCH($Q58,'Control - Alt'!$C$32:$O$32,0)),
IFERROR(INDEX(Stockpile!$C$10:$M$26,MATCH(H$97,Stockpile!$B$10:$B$26,0),MATCH($Q58,Stockpile!$C$30:$M$30,0)),
IFERROR(INDEX('Asphalt Silo &amp; Unloading'!$D$10:$M$44,MATCH(H$97,'Asphalt Silo &amp; Unloading'!$B$10:$B$44,0),MATCH($Q58,'Asphalt Silo &amp; Unloading'!$D$49:$M$49,0)),""))))))</f>
        <v/>
      </c>
      <c r="I58" s="590" t="str">
        <f>IFERROR(INDEX('Material Handling'!$C$10:$AH$33,MATCH(I$97,Material_Handling[Data],0),MATCH($Q58,'Material Handling'!$C$40:$AH$40,0)), IFERROR(INDEX('Drop Point'!$B$13:$M$36,MATCH(I$97,'Drop Point'!$B$13:$B$37,0),MATCH($Q58,'Drop Point'!$B$41:$M$41,0)),
IFERROR(INDEX('Control - Grain dscf'!$C$11:$N$27,MATCH(I$97,'Control - Grain dscf'!$B$11:$B$27,0),MATCH($Q58,'Control - Grain dscf'!$C$32:$N$32,0)),
IFERROR(INDEX('Control - Alt'!$C$9:$O$27,MATCH(I$97,'Control - Alt'!$B$9:$B$27,0),MATCH($Q58,'Control - Alt'!$C$32:$O$32,0)),
IFERROR(INDEX(Stockpile!$C$10:$M$26,MATCH(I$97,Stockpile!$B$10:$B$26,0),MATCH($Q58,Stockpile!$C$30:$M$30,0)),
IFERROR(INDEX('Asphalt Silo &amp; Unloading'!$D$10:$M$44,MATCH(I$97,'Asphalt Silo &amp; Unloading'!$B$10:$B$44,0),MATCH($Q58,'Asphalt Silo &amp; Unloading'!$D$49:$M$49,0)),""))))))</f>
        <v/>
      </c>
      <c r="J58" s="590" t="str">
        <f>IFERROR(INDEX('Material Handling'!$C$10:$AH$33,MATCH(J$97,Material_Handling[Data],0),MATCH($Q58,'Material Handling'!$C$40:$AH$40,0)), IFERROR(INDEX('Drop Point'!$B$13:$M$36,MATCH(J$97,'Drop Point'!$B$13:$B$37,0),MATCH($Q58,'Drop Point'!$B$41:$M$41,0)),
IFERROR(INDEX('Control - Grain dscf'!$C$11:$N$27,MATCH(J$97,'Control - Grain dscf'!$B$11:$B$27,0),MATCH($Q58,'Control - Grain dscf'!$C$32:$N$32,0)),
IFERROR(INDEX('Control - Alt'!$C$9:$O$27,MATCH(J$97,'Control - Alt'!$B$9:$B$27,0),MATCH($Q58,'Control - Alt'!$C$32:$O$32,0)),
IFERROR(INDEX(Stockpile!$C$10:$M$26,MATCH(J$97,Stockpile!$B$10:$B$26,0),MATCH($Q58,Stockpile!$C$30:$M$30,0)),
IFERROR(INDEX('Asphalt Silo &amp; Unloading'!$D$10:$M$44,MATCH(J$97,'Asphalt Silo &amp; Unloading'!$B$10:$B$44,0),MATCH($Q58,'Asphalt Silo &amp; Unloading'!$D$49:$M$49,0)),""))))))</f>
        <v/>
      </c>
      <c r="K58" s="590" t="str">
        <f>IFERROR(INDEX('Material Handling'!$C$10:$AH$33,MATCH(K$97,Material_Handling[Data],0),MATCH($Q58,'Material Handling'!$C$40:$AH$40,0)), IFERROR(INDEX('Drop Point'!$B$13:$M$36,MATCH(K$97,'Drop Point'!$B$13:$B$37,0),MATCH($Q58,'Drop Point'!$B$41:$M$41,0)),
IFERROR(INDEX('Control - Grain dscf'!$C$11:$N$27,MATCH(K$97,'Control - Grain dscf'!$B$11:$B$27,0),MATCH($Q58,'Control - Grain dscf'!$C$32:$N$32,0)),
IFERROR(INDEX('Control - Alt'!$C$9:$O$27,MATCH(K$97,'Control - Alt'!$B$9:$B$27,0),MATCH($Q58,'Control - Alt'!$C$32:$O$32,0)),
IFERROR(INDEX(Stockpile!$C$10:$M$26,MATCH(K$97,Stockpile!$B$10:$B$26,0),MATCH($Q58,Stockpile!$C$30:$M$30,0)),
IFERROR(INDEX('Asphalt Silo &amp; Unloading'!$D$10:$M$44,MATCH(K$97,'Asphalt Silo &amp; Unloading'!$B$10:$B$44,0),MATCH($Q58,'Asphalt Silo &amp; Unloading'!$D$49:$M$49,0)),""))))))</f>
        <v/>
      </c>
      <c r="L58" s="590" t="str">
        <f>IFERROR(INDEX('Material Handling'!$C$10:$AH$33,MATCH(L$97,Material_Handling[Data],0),MATCH($Q58,'Material Handling'!$C$40:$AH$40,0)), IFERROR(INDEX('Drop Point'!$B$13:$M$36,MATCH(L$97,'Drop Point'!$B$13:$B$37,0),MATCH($Q58,'Drop Point'!$B$41:$M$41,0)),
IFERROR(INDEX('Control - Grain dscf'!$C$11:$N$27,MATCH(L$97,'Control - Grain dscf'!$B$11:$B$27,0),MATCH($Q58,'Control - Grain dscf'!$C$32:$N$32,0)),
IFERROR(INDEX('Control - Alt'!$C$9:$O$27,MATCH(L$97,'Control - Alt'!$B$9:$B$27,0),MATCH($Q58,'Control - Alt'!$C$32:$O$32,0)),
IFERROR(INDEX(Stockpile!$C$10:$M$26,MATCH(L$97,Stockpile!$B$10:$B$26,0),MATCH($Q58,Stockpile!$C$30:$M$30,0)),
IFERROR(INDEX('Asphalt Silo &amp; Unloading'!$D$10:$M$44,MATCH(L$97,'Asphalt Silo &amp; Unloading'!$B$10:$B$44,0),MATCH($Q58,'Asphalt Silo &amp; Unloading'!$D$49:$M$49,0)),""))))))</f>
        <v/>
      </c>
      <c r="M58" s="590" t="str">
        <f>IFERROR(INDEX('Material Handling'!$C$10:$AH$33,MATCH(M$97,Material_Handling[Data],0),MATCH($Q58,'Material Handling'!$C$40:$AH$40,0)), IFERROR(INDEX('Drop Point'!$B$13:$M$36,MATCH(M$97,'Drop Point'!$B$13:$B$37,0),MATCH($Q58,'Drop Point'!$B$41:$M$41,0)),
IFERROR(INDEX('Control - Grain dscf'!$C$11:$N$27,MATCH(M$97,'Control - Grain dscf'!$B$11:$B$27,0),MATCH($Q58,'Control - Grain dscf'!$C$32:$N$32,0)),
IFERROR(INDEX('Control - Alt'!$C$9:$O$27,MATCH(M$97,'Control - Alt'!$B$9:$B$27,0),MATCH($Q58,'Control - Alt'!$C$32:$O$32,0)),
IFERROR(INDEX(Stockpile!$C$10:$M$26,MATCH(M$97,Stockpile!$B$10:$B$26,0),MATCH($Q58,Stockpile!$C$30:$M$30,0)),
IFERROR(INDEX('Asphalt Silo &amp; Unloading'!$D$10:$M$44,MATCH(M$97,'Asphalt Silo &amp; Unloading'!$B$10:$B$44,0),MATCH($Q58,'Asphalt Silo &amp; Unloading'!$D$49:$M$49,0)),""))))))</f>
        <v/>
      </c>
      <c r="N58" s="590" t="str">
        <f>IFERROR(INDEX('Material Handling'!$C$10:$AH$33,MATCH(N$97,Material_Handling[Data],0),MATCH($Q58,'Material Handling'!$C$40:$AH$40,0)), IFERROR(INDEX('Drop Point'!$B$13:$M$36,MATCH(N$97,'Drop Point'!$B$13:$B$37,0),MATCH($Q58,'Drop Point'!$B$41:$M$41,0)),
IFERROR(INDEX('Control - Grain dscf'!$C$11:$N$27,MATCH(N$97,'Control - Grain dscf'!$B$11:$B$27,0),MATCH($Q58,'Control - Grain dscf'!$C$32:$N$32,0)),
IFERROR(INDEX('Control - Alt'!$C$9:$O$27,MATCH(N$97,'Control - Alt'!$B$9:$B$27,0),MATCH($Q58,'Control - Alt'!$C$32:$O$32,0)),
IFERROR(INDEX(Stockpile!$C$10:$M$26,MATCH(N$97,Stockpile!$B$10:$B$26,0),MATCH($Q58,Stockpile!$C$30:$M$30,0)),
IFERROR(INDEX('Asphalt Silo &amp; Unloading'!$D$10:$M$44,MATCH(N$97,'Asphalt Silo &amp; Unloading'!$B$10:$B$44,0),MATCH($Q58,'Asphalt Silo &amp; Unloading'!$D$49:$M$49,0)),""))))))</f>
        <v/>
      </c>
      <c r="O58" s="591" t="str">
        <f>IFERROR(INDEX('Material Handling'!$C$10:$AH$33,MATCH(O$97,Material_Handling[Data],0),MATCH($Q58,'Material Handling'!$C$40:$AH$40,0)), IFERROR(INDEX('Drop Point'!$B$13:$M$36,MATCH(O$97,'Drop Point'!$B$13:$B$37,0),MATCH($Q58,'Drop Point'!$B$41:$M$41,0)),
IFERROR(INDEX('Control - Grain dscf'!$C$11:$N$27,MATCH(O$97,'Control - Grain dscf'!$B$11:$B$27,0),MATCH($Q58,'Control - Grain dscf'!$C$32:$N$32,0)),
IFERROR(INDEX('Control - Alt'!$C$9:$O$27,MATCH(O$97,'Control - Alt'!$B$9:$B$27,0),MATCH($Q58,'Control - Alt'!$C$32:$O$32,0)),
IFERROR(INDEX(Stockpile!$C$10:$M$26,MATCH(O$97,Stockpile!$B$10:$B$26,0),MATCH($Q58,Stockpile!$C$30:$M$30,0)),
IFERROR(INDEX('Asphalt Silo &amp; Unloading'!$D$10:$M$44,MATCH(O$97,'Asphalt Silo &amp; Unloading'!$B$10:$B$44,0),MATCH($Q58,'Asphalt Silo &amp; Unloading'!$D$49:$M$49,0)),""))))))</f>
        <v/>
      </c>
      <c r="Q58" s="131">
        <f t="shared" si="1"/>
        <v>50</v>
      </c>
    </row>
    <row r="59" spans="1:17" ht="20.100000000000001" customHeight="1">
      <c r="A59" s="293" t="str">
        <f>IFERROR(INDEX('Material Handling'!$C$10:$AH$33,MATCH(A$97,Material_Handling[Data],0),MATCH($Q59,'Material Handling'!$C$40:$AH$40,0)), IFERROR(INDEX('Drop Point'!$B$13:$M$36,MATCH(A$97,'Drop Point'!$B$13:$B$37,0),MATCH($Q59,'Drop Point'!$B$41:$M$41,0)),
IFERROR(INDEX('Control - Grain dscf'!$C$11:$N$27,MATCH(A$97,'Control - Grain dscf'!$B$11:$B$27,0),MATCH($Q59,'Control - Grain dscf'!$C$32:$N$32,0)),
IFERROR(INDEX('Control - Alt'!$C$9:$O$27,MATCH(A$97,'Control - Alt'!$B$9:$B$27,0),MATCH($Q59,'Control - Alt'!$C$32:$O$32,0)),
IFERROR(INDEX(Stockpile!$C$10:$M$26,MATCH(A$97,Stockpile!$B$10:$B$26,0),MATCH($Q59,Stockpile!$C$30:$M$30,0)),
IFERROR(INDEX('Asphalt Silo &amp; Unloading'!$D$10:$M$44,MATCH(A$97,'Asphalt Silo &amp; Unloading'!$B$10:$B$44,0),MATCH($Q59,'Asphalt Silo &amp; Unloading'!$D$49:$M$49,0)),""))))))</f>
        <v/>
      </c>
      <c r="B59" s="135" t="str">
        <f>IFERROR(INDEX('Material Handling'!$C$10:$AH$33,MATCH(B$97,Material_Handling[Data],0),MATCH($Q59,'Material Handling'!$C$40:$AH$40,0)), IFERROR(INDEX('Drop Point'!$B$13:$M$36,MATCH(B$97,'Drop Point'!$B$13:$B$37,0),MATCH($Q59,'Drop Point'!$B$41:$M$41,0)),
IFERROR(INDEX('Control - Grain dscf'!$C$11:$N$27,MATCH(B$97,'Control - Grain dscf'!$B$11:$B$27,0),MATCH($Q59,'Control - Grain dscf'!$C$32:$N$32,0)),
IFERROR(INDEX('Control - Alt'!$C$9:$O$27,MATCH(B$97,'Control - Alt'!$B$9:$B$27,0),MATCH($Q59,'Control - Alt'!$C$32:$O$32,0)),
IFERROR(INDEX(Stockpile!$C$10:$M$26,MATCH(B$97,Stockpile!$B$10:$B$26,0),MATCH($Q59,Stockpile!$C$30:$M$30,0)),
IFERROR(INDEX('Asphalt Silo &amp; Unloading'!$D$10:$M$44,MATCH(B$97,'Asphalt Silo &amp; Unloading'!$B$10:$B$44,0),MATCH($Q59,'Asphalt Silo &amp; Unloading'!$D$49:$M$49,0)),""))))))</f>
        <v/>
      </c>
      <c r="C59" s="135" t="str">
        <f>IFERROR(INDEX('Material Handling'!$C$10:$AH$33,MATCH(C$97,Material_Handling[Data],0),MATCH($Q59,'Material Handling'!$C$40:$AH$40,0)), IFERROR(INDEX('Drop Point'!$B$13:$M$36,MATCH(C$97,'Drop Point'!$B$13:$B$37,0),MATCH($Q59,'Drop Point'!$B$41:$M$41,0)),
IFERROR(INDEX('Control - Grain dscf'!$C$11:$N$27,MATCH(C$97,'Control - Grain dscf'!$B$11:$B$27,0),MATCH($Q59,'Control - Grain dscf'!$C$32:$N$32,0)),
IFERROR(INDEX('Control - Alt'!$C$9:$O$27,MATCH(C$97,'Control - Alt'!$B$9:$B$27,0),MATCH($Q59,'Control - Alt'!$C$32:$O$32,0)),
IFERROR(INDEX(Stockpile!$C$10:$M$26,MATCH(C$97,Stockpile!$B$10:$B$26,0),MATCH($Q59,Stockpile!$C$30:$M$30,0)),
IFERROR(INDEX('Asphalt Silo &amp; Unloading'!$D$10:$M$44,MATCH(C$97,'Asphalt Silo &amp; Unloading'!$B$10:$B$44,0),MATCH($Q59,'Asphalt Silo &amp; Unloading'!$D$49:$M$49,0)),""))))))</f>
        <v/>
      </c>
      <c r="D59" s="135" t="str">
        <f>IFERROR(INDEX('Material Handling'!$C$10:$AH$33,MATCH(D$97,Material_Handling[Data],0),MATCH($Q59,'Material Handling'!$C$40:$AH$40,0)), IFERROR(INDEX('Drop Point'!$B$13:$M$36,MATCH(D$97,'Drop Point'!$B$13:$B$37,0),MATCH($Q59,'Drop Point'!$B$41:$M$41,0)),
IFERROR(INDEX('Control - Grain dscf'!$C$11:$N$27,MATCH(D$97,'Control - Grain dscf'!$B$11:$B$27,0),MATCH($Q59,'Control - Grain dscf'!$C$32:$N$32,0)),
IFERROR(INDEX('Control - Alt'!$C$9:$O$27,MATCH(D$97,'Control - Alt'!$B$9:$B$27,0),MATCH($Q59,'Control - Alt'!$C$32:$O$32,0)),
IFERROR(INDEX(Stockpile!$C$10:$M$26,MATCH(D$97,Stockpile!$B$10:$B$26,0),MATCH($Q59,Stockpile!$C$30:$M$30,0)),
IFERROR(INDEX('Asphalt Silo &amp; Unloading'!$D$10:$M$44,MATCH(D$97,'Asphalt Silo &amp; Unloading'!$B$10:$B$44,0),MATCH($Q59,'Asphalt Silo &amp; Unloading'!$D$49:$M$49,0)),""))))))</f>
        <v/>
      </c>
      <c r="E59" s="620" t="str">
        <f>IFERROR(INDEX('Material Handling'!$C$10:$AH$33,MATCH(E$97,Material_Handling[Data],0),MATCH($Q59,'Material Handling'!$C$40:$AH$40,0)), IFERROR(INDEX('Drop Point'!$B$13:$M$36,MATCH(E$97,'Drop Point'!$B$13:$B$37,0),MATCH($Q59,'Drop Point'!$B$41:$M$41,0)),
IFERROR(INDEX('Control - Grain dscf'!$C$11:$N$27,MATCH(E$97,'Control - Grain dscf'!$B$11:$B$27,0),MATCH($Q59,'Control - Grain dscf'!$C$32:$N$32,0)),
IFERROR(INDEX('Control - Alt'!$C$9:$O$27,MATCH(E$97,'Control - Alt'!$B$9:$B$27,0),MATCH($Q59,'Control - Alt'!$C$32:$O$32,0)),
IFERROR(INDEX(Stockpile!$C$10:$M$26,MATCH(E$97,Stockpile!$B$10:$B$26,0),MATCH($Q59,Stockpile!$C$30:$M$30,0)),
IFERROR(INDEX('Asphalt Silo &amp; Unloading'!$D$10:$M$44,MATCH(E$97,'Asphalt Silo &amp; Unloading'!$B$10:$B$44,0),MATCH($Q59,'Asphalt Silo &amp; Unloading'!$D$49:$M$49,0)),""))))))</f>
        <v/>
      </c>
      <c r="F59" s="590" t="str">
        <f>IFERROR(INDEX('Material Handling'!$C$10:$AH$33,MATCH(F$97,Material_Handling[Data],0),MATCH($Q59,'Material Handling'!$C$40:$AH$40,0)), IFERROR(INDEX('Drop Point'!$B$13:$M$36,MATCH(F$97,'Drop Point'!$B$13:$B$37,0),MATCH($Q59,'Drop Point'!$B$41:$M$41,0)),
IFERROR(INDEX('Control - Grain dscf'!$C$11:$N$27,MATCH(F$97,'Control - Grain dscf'!$B$11:$B$27,0),MATCH($Q59,'Control - Grain dscf'!$C$32:$N$32,0)),
IFERROR(INDEX('Control - Alt'!$C$9:$O$27,MATCH(F$97,'Control - Alt'!$B$9:$B$27,0),MATCH($Q59,'Control - Alt'!$C$32:$O$32,0)),
IFERROR(INDEX(Stockpile!$C$10:$M$26,MATCH(F$97,Stockpile!$B$10:$B$26,0),MATCH($Q59,Stockpile!$C$30:$M$30,0)),
IFERROR(INDEX('Asphalt Silo &amp; Unloading'!$D$10:$M$44,MATCH(F$97,'Asphalt Silo &amp; Unloading'!$B$10:$B$44,0),MATCH($Q59,'Asphalt Silo &amp; Unloading'!$D$49:$M$49,0)),""))))))</f>
        <v/>
      </c>
      <c r="G59" s="590" t="str">
        <f>IFERROR(INDEX('Material Handling'!$C$10:$AH$33,MATCH(G$97,Material_Handling[Data],0),MATCH($Q59,'Material Handling'!$C$40:$AH$40,0)), IFERROR(INDEX('Drop Point'!$B$13:$M$36,MATCH(G$97,'Drop Point'!$B$13:$B$37,0),MATCH($Q59,'Drop Point'!$B$41:$M$41,0)),
IFERROR(INDEX('Control - Grain dscf'!$C$11:$N$27,MATCH(G$97,'Control - Grain dscf'!$B$11:$B$27,0),MATCH($Q59,'Control - Grain dscf'!$C$32:$N$32,0)),
IFERROR(INDEX('Control - Alt'!$C$9:$O$27,MATCH(G$97,'Control - Alt'!$B$9:$B$27,0),MATCH($Q59,'Control - Alt'!$C$32:$O$32,0)),
IFERROR(INDEX(Stockpile!$C$10:$M$26,MATCH(G$97,Stockpile!$B$10:$B$26,0),MATCH($Q59,Stockpile!$C$30:$M$30,0)),
IFERROR(INDEX('Asphalt Silo &amp; Unloading'!$D$10:$M$44,MATCH(G$97,'Asphalt Silo &amp; Unloading'!$B$10:$B$44,0),MATCH($Q59,'Asphalt Silo &amp; Unloading'!$D$49:$M$49,0)),""))))))</f>
        <v/>
      </c>
      <c r="H59" s="590" t="str">
        <f>IFERROR(INDEX('Material Handling'!$C$10:$AH$33,MATCH(H$97,Material_Handling[Data],0),MATCH($Q59,'Material Handling'!$C$40:$AH$40,0)), IFERROR(INDEX('Drop Point'!$B$13:$M$36,MATCH(H$97,'Drop Point'!$B$13:$B$37,0),MATCH($Q59,'Drop Point'!$B$41:$M$41,0)),
IFERROR(INDEX('Control - Grain dscf'!$C$11:$N$27,MATCH(H$97,'Control - Grain dscf'!$B$11:$B$27,0),MATCH($Q59,'Control - Grain dscf'!$C$32:$N$32,0)),
IFERROR(INDEX('Control - Alt'!$C$9:$O$27,MATCH(H$97,'Control - Alt'!$B$9:$B$27,0),MATCH($Q59,'Control - Alt'!$C$32:$O$32,0)),
IFERROR(INDEX(Stockpile!$C$10:$M$26,MATCH(H$97,Stockpile!$B$10:$B$26,0),MATCH($Q59,Stockpile!$C$30:$M$30,0)),
IFERROR(INDEX('Asphalt Silo &amp; Unloading'!$D$10:$M$44,MATCH(H$97,'Asphalt Silo &amp; Unloading'!$B$10:$B$44,0),MATCH($Q59,'Asphalt Silo &amp; Unloading'!$D$49:$M$49,0)),""))))))</f>
        <v/>
      </c>
      <c r="I59" s="590" t="str">
        <f>IFERROR(INDEX('Material Handling'!$C$10:$AH$33,MATCH(I$97,Material_Handling[Data],0),MATCH($Q59,'Material Handling'!$C$40:$AH$40,0)), IFERROR(INDEX('Drop Point'!$B$13:$M$36,MATCH(I$97,'Drop Point'!$B$13:$B$37,0),MATCH($Q59,'Drop Point'!$B$41:$M$41,0)),
IFERROR(INDEX('Control - Grain dscf'!$C$11:$N$27,MATCH(I$97,'Control - Grain dscf'!$B$11:$B$27,0),MATCH($Q59,'Control - Grain dscf'!$C$32:$N$32,0)),
IFERROR(INDEX('Control - Alt'!$C$9:$O$27,MATCH(I$97,'Control - Alt'!$B$9:$B$27,0),MATCH($Q59,'Control - Alt'!$C$32:$O$32,0)),
IFERROR(INDEX(Stockpile!$C$10:$M$26,MATCH(I$97,Stockpile!$B$10:$B$26,0),MATCH($Q59,Stockpile!$C$30:$M$30,0)),
IFERROR(INDEX('Asphalt Silo &amp; Unloading'!$D$10:$M$44,MATCH(I$97,'Asphalt Silo &amp; Unloading'!$B$10:$B$44,0),MATCH($Q59,'Asphalt Silo &amp; Unloading'!$D$49:$M$49,0)),""))))))</f>
        <v/>
      </c>
      <c r="J59" s="590" t="str">
        <f>IFERROR(INDEX('Material Handling'!$C$10:$AH$33,MATCH(J$97,Material_Handling[Data],0),MATCH($Q59,'Material Handling'!$C$40:$AH$40,0)), IFERROR(INDEX('Drop Point'!$B$13:$M$36,MATCH(J$97,'Drop Point'!$B$13:$B$37,0),MATCH($Q59,'Drop Point'!$B$41:$M$41,0)),
IFERROR(INDEX('Control - Grain dscf'!$C$11:$N$27,MATCH(J$97,'Control - Grain dscf'!$B$11:$B$27,0),MATCH($Q59,'Control - Grain dscf'!$C$32:$N$32,0)),
IFERROR(INDEX('Control - Alt'!$C$9:$O$27,MATCH(J$97,'Control - Alt'!$B$9:$B$27,0),MATCH($Q59,'Control - Alt'!$C$32:$O$32,0)),
IFERROR(INDEX(Stockpile!$C$10:$M$26,MATCH(J$97,Stockpile!$B$10:$B$26,0),MATCH($Q59,Stockpile!$C$30:$M$30,0)),
IFERROR(INDEX('Asphalt Silo &amp; Unloading'!$D$10:$M$44,MATCH(J$97,'Asphalt Silo &amp; Unloading'!$B$10:$B$44,0),MATCH($Q59,'Asphalt Silo &amp; Unloading'!$D$49:$M$49,0)),""))))))</f>
        <v/>
      </c>
      <c r="K59" s="590" t="str">
        <f>IFERROR(INDEX('Material Handling'!$C$10:$AH$33,MATCH(K$97,Material_Handling[Data],0),MATCH($Q59,'Material Handling'!$C$40:$AH$40,0)), IFERROR(INDEX('Drop Point'!$B$13:$M$36,MATCH(K$97,'Drop Point'!$B$13:$B$37,0),MATCH($Q59,'Drop Point'!$B$41:$M$41,0)),
IFERROR(INDEX('Control - Grain dscf'!$C$11:$N$27,MATCH(K$97,'Control - Grain dscf'!$B$11:$B$27,0),MATCH($Q59,'Control - Grain dscf'!$C$32:$N$32,0)),
IFERROR(INDEX('Control - Alt'!$C$9:$O$27,MATCH(K$97,'Control - Alt'!$B$9:$B$27,0),MATCH($Q59,'Control - Alt'!$C$32:$O$32,0)),
IFERROR(INDEX(Stockpile!$C$10:$M$26,MATCH(K$97,Stockpile!$B$10:$B$26,0),MATCH($Q59,Stockpile!$C$30:$M$30,0)),
IFERROR(INDEX('Asphalt Silo &amp; Unloading'!$D$10:$M$44,MATCH(K$97,'Asphalt Silo &amp; Unloading'!$B$10:$B$44,0),MATCH($Q59,'Asphalt Silo &amp; Unloading'!$D$49:$M$49,0)),""))))))</f>
        <v/>
      </c>
      <c r="L59" s="590" t="str">
        <f>IFERROR(INDEX('Material Handling'!$C$10:$AH$33,MATCH(L$97,Material_Handling[Data],0),MATCH($Q59,'Material Handling'!$C$40:$AH$40,0)), IFERROR(INDEX('Drop Point'!$B$13:$M$36,MATCH(L$97,'Drop Point'!$B$13:$B$37,0),MATCH($Q59,'Drop Point'!$B$41:$M$41,0)),
IFERROR(INDEX('Control - Grain dscf'!$C$11:$N$27,MATCH(L$97,'Control - Grain dscf'!$B$11:$B$27,0),MATCH($Q59,'Control - Grain dscf'!$C$32:$N$32,0)),
IFERROR(INDEX('Control - Alt'!$C$9:$O$27,MATCH(L$97,'Control - Alt'!$B$9:$B$27,0),MATCH($Q59,'Control - Alt'!$C$32:$O$32,0)),
IFERROR(INDEX(Stockpile!$C$10:$M$26,MATCH(L$97,Stockpile!$B$10:$B$26,0),MATCH($Q59,Stockpile!$C$30:$M$30,0)),
IFERROR(INDEX('Asphalt Silo &amp; Unloading'!$D$10:$M$44,MATCH(L$97,'Asphalt Silo &amp; Unloading'!$B$10:$B$44,0),MATCH($Q59,'Asphalt Silo &amp; Unloading'!$D$49:$M$49,0)),""))))))</f>
        <v/>
      </c>
      <c r="M59" s="590" t="str">
        <f>IFERROR(INDEX('Material Handling'!$C$10:$AH$33,MATCH(M$97,Material_Handling[Data],0),MATCH($Q59,'Material Handling'!$C$40:$AH$40,0)), IFERROR(INDEX('Drop Point'!$B$13:$M$36,MATCH(M$97,'Drop Point'!$B$13:$B$37,0),MATCH($Q59,'Drop Point'!$B$41:$M$41,0)),
IFERROR(INDEX('Control - Grain dscf'!$C$11:$N$27,MATCH(M$97,'Control - Grain dscf'!$B$11:$B$27,0),MATCH($Q59,'Control - Grain dscf'!$C$32:$N$32,0)),
IFERROR(INDEX('Control - Alt'!$C$9:$O$27,MATCH(M$97,'Control - Alt'!$B$9:$B$27,0),MATCH($Q59,'Control - Alt'!$C$32:$O$32,0)),
IFERROR(INDEX(Stockpile!$C$10:$M$26,MATCH(M$97,Stockpile!$B$10:$B$26,0),MATCH($Q59,Stockpile!$C$30:$M$30,0)),
IFERROR(INDEX('Asphalt Silo &amp; Unloading'!$D$10:$M$44,MATCH(M$97,'Asphalt Silo &amp; Unloading'!$B$10:$B$44,0),MATCH($Q59,'Asphalt Silo &amp; Unloading'!$D$49:$M$49,0)),""))))))</f>
        <v/>
      </c>
      <c r="N59" s="590" t="str">
        <f>IFERROR(INDEX('Material Handling'!$C$10:$AH$33,MATCH(N$97,Material_Handling[Data],0),MATCH($Q59,'Material Handling'!$C$40:$AH$40,0)), IFERROR(INDEX('Drop Point'!$B$13:$M$36,MATCH(N$97,'Drop Point'!$B$13:$B$37,0),MATCH($Q59,'Drop Point'!$B$41:$M$41,0)),
IFERROR(INDEX('Control - Grain dscf'!$C$11:$N$27,MATCH(N$97,'Control - Grain dscf'!$B$11:$B$27,0),MATCH($Q59,'Control - Grain dscf'!$C$32:$N$32,0)),
IFERROR(INDEX('Control - Alt'!$C$9:$O$27,MATCH(N$97,'Control - Alt'!$B$9:$B$27,0),MATCH($Q59,'Control - Alt'!$C$32:$O$32,0)),
IFERROR(INDEX(Stockpile!$C$10:$M$26,MATCH(N$97,Stockpile!$B$10:$B$26,0),MATCH($Q59,Stockpile!$C$30:$M$30,0)),
IFERROR(INDEX('Asphalt Silo &amp; Unloading'!$D$10:$M$44,MATCH(N$97,'Asphalt Silo &amp; Unloading'!$B$10:$B$44,0),MATCH($Q59,'Asphalt Silo &amp; Unloading'!$D$49:$M$49,0)),""))))))</f>
        <v/>
      </c>
      <c r="O59" s="591" t="str">
        <f>IFERROR(INDEX('Material Handling'!$C$10:$AH$33,MATCH(O$97,Material_Handling[Data],0),MATCH($Q59,'Material Handling'!$C$40:$AH$40,0)), IFERROR(INDEX('Drop Point'!$B$13:$M$36,MATCH(O$97,'Drop Point'!$B$13:$B$37,0),MATCH($Q59,'Drop Point'!$B$41:$M$41,0)),
IFERROR(INDEX('Control - Grain dscf'!$C$11:$N$27,MATCH(O$97,'Control - Grain dscf'!$B$11:$B$27,0),MATCH($Q59,'Control - Grain dscf'!$C$32:$N$32,0)),
IFERROR(INDEX('Control - Alt'!$C$9:$O$27,MATCH(O$97,'Control - Alt'!$B$9:$B$27,0),MATCH($Q59,'Control - Alt'!$C$32:$O$32,0)),
IFERROR(INDEX(Stockpile!$C$10:$M$26,MATCH(O$97,Stockpile!$B$10:$B$26,0),MATCH($Q59,Stockpile!$C$30:$M$30,0)),
IFERROR(INDEX('Asphalt Silo &amp; Unloading'!$D$10:$M$44,MATCH(O$97,'Asphalt Silo &amp; Unloading'!$B$10:$B$44,0),MATCH($Q59,'Asphalt Silo &amp; Unloading'!$D$49:$M$49,0)),""))))))</f>
        <v/>
      </c>
      <c r="Q59" s="131">
        <f t="shared" si="1"/>
        <v>51</v>
      </c>
    </row>
    <row r="60" spans="1:17" ht="20.100000000000001" customHeight="1">
      <c r="A60" s="293" t="str">
        <f>IFERROR(INDEX('Material Handling'!$C$10:$AH$33,MATCH(A$97,Material_Handling[Data],0),MATCH($Q60,'Material Handling'!$C$40:$AH$40,0)), IFERROR(INDEX('Drop Point'!$B$13:$M$36,MATCH(A$97,'Drop Point'!$B$13:$B$37,0),MATCH($Q60,'Drop Point'!$B$41:$M$41,0)),
IFERROR(INDEX('Control - Grain dscf'!$C$11:$N$27,MATCH(A$97,'Control - Grain dscf'!$B$11:$B$27,0),MATCH($Q60,'Control - Grain dscf'!$C$32:$N$32,0)),
IFERROR(INDEX('Control - Alt'!$C$9:$O$27,MATCH(A$97,'Control - Alt'!$B$9:$B$27,0),MATCH($Q60,'Control - Alt'!$C$32:$O$32,0)),
IFERROR(INDEX(Stockpile!$C$10:$M$26,MATCH(A$97,Stockpile!$B$10:$B$26,0),MATCH($Q60,Stockpile!$C$30:$M$30,0)),
IFERROR(INDEX('Asphalt Silo &amp; Unloading'!$D$10:$M$44,MATCH(A$97,'Asphalt Silo &amp; Unloading'!$B$10:$B$44,0),MATCH($Q60,'Asphalt Silo &amp; Unloading'!$D$49:$M$49,0)),""))))))</f>
        <v/>
      </c>
      <c r="B60" s="135" t="str">
        <f>IFERROR(INDEX('Material Handling'!$C$10:$AH$33,MATCH(B$97,Material_Handling[Data],0),MATCH($Q60,'Material Handling'!$C$40:$AH$40,0)), IFERROR(INDEX('Drop Point'!$B$13:$M$36,MATCH(B$97,'Drop Point'!$B$13:$B$37,0),MATCH($Q60,'Drop Point'!$B$41:$M$41,0)),
IFERROR(INDEX('Control - Grain dscf'!$C$11:$N$27,MATCH(B$97,'Control - Grain dscf'!$B$11:$B$27,0),MATCH($Q60,'Control - Grain dscf'!$C$32:$N$32,0)),
IFERROR(INDEX('Control - Alt'!$C$9:$O$27,MATCH(B$97,'Control - Alt'!$B$9:$B$27,0),MATCH($Q60,'Control - Alt'!$C$32:$O$32,0)),
IFERROR(INDEX(Stockpile!$C$10:$M$26,MATCH(B$97,Stockpile!$B$10:$B$26,0),MATCH($Q60,Stockpile!$C$30:$M$30,0)),
IFERROR(INDEX('Asphalt Silo &amp; Unloading'!$D$10:$M$44,MATCH(B$97,'Asphalt Silo &amp; Unloading'!$B$10:$B$44,0),MATCH($Q60,'Asphalt Silo &amp; Unloading'!$D$49:$M$49,0)),""))))))</f>
        <v/>
      </c>
      <c r="C60" s="135" t="str">
        <f>IFERROR(INDEX('Material Handling'!$C$10:$AH$33,MATCH(C$97,Material_Handling[Data],0),MATCH($Q60,'Material Handling'!$C$40:$AH$40,0)), IFERROR(INDEX('Drop Point'!$B$13:$M$36,MATCH(C$97,'Drop Point'!$B$13:$B$37,0),MATCH($Q60,'Drop Point'!$B$41:$M$41,0)),
IFERROR(INDEX('Control - Grain dscf'!$C$11:$N$27,MATCH(C$97,'Control - Grain dscf'!$B$11:$B$27,0),MATCH($Q60,'Control - Grain dscf'!$C$32:$N$32,0)),
IFERROR(INDEX('Control - Alt'!$C$9:$O$27,MATCH(C$97,'Control - Alt'!$B$9:$B$27,0),MATCH($Q60,'Control - Alt'!$C$32:$O$32,0)),
IFERROR(INDEX(Stockpile!$C$10:$M$26,MATCH(C$97,Stockpile!$B$10:$B$26,0),MATCH($Q60,Stockpile!$C$30:$M$30,0)),
IFERROR(INDEX('Asphalt Silo &amp; Unloading'!$D$10:$M$44,MATCH(C$97,'Asphalt Silo &amp; Unloading'!$B$10:$B$44,0),MATCH($Q60,'Asphalt Silo &amp; Unloading'!$D$49:$M$49,0)),""))))))</f>
        <v/>
      </c>
      <c r="D60" s="135" t="str">
        <f>IFERROR(INDEX('Material Handling'!$C$10:$AH$33,MATCH(D$97,Material_Handling[Data],0),MATCH($Q60,'Material Handling'!$C$40:$AH$40,0)), IFERROR(INDEX('Drop Point'!$B$13:$M$36,MATCH(D$97,'Drop Point'!$B$13:$B$37,0),MATCH($Q60,'Drop Point'!$B$41:$M$41,0)),
IFERROR(INDEX('Control - Grain dscf'!$C$11:$N$27,MATCH(D$97,'Control - Grain dscf'!$B$11:$B$27,0),MATCH($Q60,'Control - Grain dscf'!$C$32:$N$32,0)),
IFERROR(INDEX('Control - Alt'!$C$9:$O$27,MATCH(D$97,'Control - Alt'!$B$9:$B$27,0),MATCH($Q60,'Control - Alt'!$C$32:$O$32,0)),
IFERROR(INDEX(Stockpile!$C$10:$M$26,MATCH(D$97,Stockpile!$B$10:$B$26,0),MATCH($Q60,Stockpile!$C$30:$M$30,0)),
IFERROR(INDEX('Asphalt Silo &amp; Unloading'!$D$10:$M$44,MATCH(D$97,'Asphalt Silo &amp; Unloading'!$B$10:$B$44,0),MATCH($Q60,'Asphalt Silo &amp; Unloading'!$D$49:$M$49,0)),""))))))</f>
        <v/>
      </c>
      <c r="E60" s="620" t="str">
        <f>IFERROR(INDEX('Material Handling'!$C$10:$AH$33,MATCH(E$97,Material_Handling[Data],0),MATCH($Q60,'Material Handling'!$C$40:$AH$40,0)), IFERROR(INDEX('Drop Point'!$B$13:$M$36,MATCH(E$97,'Drop Point'!$B$13:$B$37,0),MATCH($Q60,'Drop Point'!$B$41:$M$41,0)),
IFERROR(INDEX('Control - Grain dscf'!$C$11:$N$27,MATCH(E$97,'Control - Grain dscf'!$B$11:$B$27,0),MATCH($Q60,'Control - Grain dscf'!$C$32:$N$32,0)),
IFERROR(INDEX('Control - Alt'!$C$9:$O$27,MATCH(E$97,'Control - Alt'!$B$9:$B$27,0),MATCH($Q60,'Control - Alt'!$C$32:$O$32,0)),
IFERROR(INDEX(Stockpile!$C$10:$M$26,MATCH(E$97,Stockpile!$B$10:$B$26,0),MATCH($Q60,Stockpile!$C$30:$M$30,0)),
IFERROR(INDEX('Asphalt Silo &amp; Unloading'!$D$10:$M$44,MATCH(E$97,'Asphalt Silo &amp; Unloading'!$B$10:$B$44,0),MATCH($Q60,'Asphalt Silo &amp; Unloading'!$D$49:$M$49,0)),""))))))</f>
        <v/>
      </c>
      <c r="F60" s="590" t="str">
        <f>IFERROR(INDEX('Material Handling'!$C$10:$AH$33,MATCH(F$97,Material_Handling[Data],0),MATCH($Q60,'Material Handling'!$C$40:$AH$40,0)), IFERROR(INDEX('Drop Point'!$B$13:$M$36,MATCH(F$97,'Drop Point'!$B$13:$B$37,0),MATCH($Q60,'Drop Point'!$B$41:$M$41,0)),
IFERROR(INDEX('Control - Grain dscf'!$C$11:$N$27,MATCH(F$97,'Control - Grain dscf'!$B$11:$B$27,0),MATCH($Q60,'Control - Grain dscf'!$C$32:$N$32,0)),
IFERROR(INDEX('Control - Alt'!$C$9:$O$27,MATCH(F$97,'Control - Alt'!$B$9:$B$27,0),MATCH($Q60,'Control - Alt'!$C$32:$O$32,0)),
IFERROR(INDEX(Stockpile!$C$10:$M$26,MATCH(F$97,Stockpile!$B$10:$B$26,0),MATCH($Q60,Stockpile!$C$30:$M$30,0)),
IFERROR(INDEX('Asphalt Silo &amp; Unloading'!$D$10:$M$44,MATCH(F$97,'Asphalt Silo &amp; Unloading'!$B$10:$B$44,0),MATCH($Q60,'Asphalt Silo &amp; Unloading'!$D$49:$M$49,0)),""))))))</f>
        <v/>
      </c>
      <c r="G60" s="590" t="str">
        <f>IFERROR(INDEX('Material Handling'!$C$10:$AH$33,MATCH(G$97,Material_Handling[Data],0),MATCH($Q60,'Material Handling'!$C$40:$AH$40,0)), IFERROR(INDEX('Drop Point'!$B$13:$M$36,MATCH(G$97,'Drop Point'!$B$13:$B$37,0),MATCH($Q60,'Drop Point'!$B$41:$M$41,0)),
IFERROR(INDEX('Control - Grain dscf'!$C$11:$N$27,MATCH(G$97,'Control - Grain dscf'!$B$11:$B$27,0),MATCH($Q60,'Control - Grain dscf'!$C$32:$N$32,0)),
IFERROR(INDEX('Control - Alt'!$C$9:$O$27,MATCH(G$97,'Control - Alt'!$B$9:$B$27,0),MATCH($Q60,'Control - Alt'!$C$32:$O$32,0)),
IFERROR(INDEX(Stockpile!$C$10:$M$26,MATCH(G$97,Stockpile!$B$10:$B$26,0),MATCH($Q60,Stockpile!$C$30:$M$30,0)),
IFERROR(INDEX('Asphalt Silo &amp; Unloading'!$D$10:$M$44,MATCH(G$97,'Asphalt Silo &amp; Unloading'!$B$10:$B$44,0),MATCH($Q60,'Asphalt Silo &amp; Unloading'!$D$49:$M$49,0)),""))))))</f>
        <v/>
      </c>
      <c r="H60" s="590" t="str">
        <f>IFERROR(INDEX('Material Handling'!$C$10:$AH$33,MATCH(H$97,Material_Handling[Data],0),MATCH($Q60,'Material Handling'!$C$40:$AH$40,0)), IFERROR(INDEX('Drop Point'!$B$13:$M$36,MATCH(H$97,'Drop Point'!$B$13:$B$37,0),MATCH($Q60,'Drop Point'!$B$41:$M$41,0)),
IFERROR(INDEX('Control - Grain dscf'!$C$11:$N$27,MATCH(H$97,'Control - Grain dscf'!$B$11:$B$27,0),MATCH($Q60,'Control - Grain dscf'!$C$32:$N$32,0)),
IFERROR(INDEX('Control - Alt'!$C$9:$O$27,MATCH(H$97,'Control - Alt'!$B$9:$B$27,0),MATCH($Q60,'Control - Alt'!$C$32:$O$32,0)),
IFERROR(INDEX(Stockpile!$C$10:$M$26,MATCH(H$97,Stockpile!$B$10:$B$26,0),MATCH($Q60,Stockpile!$C$30:$M$30,0)),
IFERROR(INDEX('Asphalt Silo &amp; Unloading'!$D$10:$M$44,MATCH(H$97,'Asphalt Silo &amp; Unloading'!$B$10:$B$44,0),MATCH($Q60,'Asphalt Silo &amp; Unloading'!$D$49:$M$49,0)),""))))))</f>
        <v/>
      </c>
      <c r="I60" s="590" t="str">
        <f>IFERROR(INDEX('Material Handling'!$C$10:$AH$33,MATCH(I$97,Material_Handling[Data],0),MATCH($Q60,'Material Handling'!$C$40:$AH$40,0)), IFERROR(INDEX('Drop Point'!$B$13:$M$36,MATCH(I$97,'Drop Point'!$B$13:$B$37,0),MATCH($Q60,'Drop Point'!$B$41:$M$41,0)),
IFERROR(INDEX('Control - Grain dscf'!$C$11:$N$27,MATCH(I$97,'Control - Grain dscf'!$B$11:$B$27,0),MATCH($Q60,'Control - Grain dscf'!$C$32:$N$32,0)),
IFERROR(INDEX('Control - Alt'!$C$9:$O$27,MATCH(I$97,'Control - Alt'!$B$9:$B$27,0),MATCH($Q60,'Control - Alt'!$C$32:$O$32,0)),
IFERROR(INDEX(Stockpile!$C$10:$M$26,MATCH(I$97,Stockpile!$B$10:$B$26,0),MATCH($Q60,Stockpile!$C$30:$M$30,0)),
IFERROR(INDEX('Asphalt Silo &amp; Unloading'!$D$10:$M$44,MATCH(I$97,'Asphalt Silo &amp; Unloading'!$B$10:$B$44,0),MATCH($Q60,'Asphalt Silo &amp; Unloading'!$D$49:$M$49,0)),""))))))</f>
        <v/>
      </c>
      <c r="J60" s="590" t="str">
        <f>IFERROR(INDEX('Material Handling'!$C$10:$AH$33,MATCH(J$97,Material_Handling[Data],0),MATCH($Q60,'Material Handling'!$C$40:$AH$40,0)), IFERROR(INDEX('Drop Point'!$B$13:$M$36,MATCH(J$97,'Drop Point'!$B$13:$B$37,0),MATCH($Q60,'Drop Point'!$B$41:$M$41,0)),
IFERROR(INDEX('Control - Grain dscf'!$C$11:$N$27,MATCH(J$97,'Control - Grain dscf'!$B$11:$B$27,0),MATCH($Q60,'Control - Grain dscf'!$C$32:$N$32,0)),
IFERROR(INDEX('Control - Alt'!$C$9:$O$27,MATCH(J$97,'Control - Alt'!$B$9:$B$27,0),MATCH($Q60,'Control - Alt'!$C$32:$O$32,0)),
IFERROR(INDEX(Stockpile!$C$10:$M$26,MATCH(J$97,Stockpile!$B$10:$B$26,0),MATCH($Q60,Stockpile!$C$30:$M$30,0)),
IFERROR(INDEX('Asphalt Silo &amp; Unloading'!$D$10:$M$44,MATCH(J$97,'Asphalt Silo &amp; Unloading'!$B$10:$B$44,0),MATCH($Q60,'Asphalt Silo &amp; Unloading'!$D$49:$M$49,0)),""))))))</f>
        <v/>
      </c>
      <c r="K60" s="590" t="str">
        <f>IFERROR(INDEX('Material Handling'!$C$10:$AH$33,MATCH(K$97,Material_Handling[Data],0),MATCH($Q60,'Material Handling'!$C$40:$AH$40,0)), IFERROR(INDEX('Drop Point'!$B$13:$M$36,MATCH(K$97,'Drop Point'!$B$13:$B$37,0),MATCH($Q60,'Drop Point'!$B$41:$M$41,0)),
IFERROR(INDEX('Control - Grain dscf'!$C$11:$N$27,MATCH(K$97,'Control - Grain dscf'!$B$11:$B$27,0),MATCH($Q60,'Control - Grain dscf'!$C$32:$N$32,0)),
IFERROR(INDEX('Control - Alt'!$C$9:$O$27,MATCH(K$97,'Control - Alt'!$B$9:$B$27,0),MATCH($Q60,'Control - Alt'!$C$32:$O$32,0)),
IFERROR(INDEX(Stockpile!$C$10:$M$26,MATCH(K$97,Stockpile!$B$10:$B$26,0),MATCH($Q60,Stockpile!$C$30:$M$30,0)),
IFERROR(INDEX('Asphalt Silo &amp; Unloading'!$D$10:$M$44,MATCH(K$97,'Asphalt Silo &amp; Unloading'!$B$10:$B$44,0),MATCH($Q60,'Asphalt Silo &amp; Unloading'!$D$49:$M$49,0)),""))))))</f>
        <v/>
      </c>
      <c r="L60" s="590" t="str">
        <f>IFERROR(INDEX('Material Handling'!$C$10:$AH$33,MATCH(L$97,Material_Handling[Data],0),MATCH($Q60,'Material Handling'!$C$40:$AH$40,0)), IFERROR(INDEX('Drop Point'!$B$13:$M$36,MATCH(L$97,'Drop Point'!$B$13:$B$37,0),MATCH($Q60,'Drop Point'!$B$41:$M$41,0)),
IFERROR(INDEX('Control - Grain dscf'!$C$11:$N$27,MATCH(L$97,'Control - Grain dscf'!$B$11:$B$27,0),MATCH($Q60,'Control - Grain dscf'!$C$32:$N$32,0)),
IFERROR(INDEX('Control - Alt'!$C$9:$O$27,MATCH(L$97,'Control - Alt'!$B$9:$B$27,0),MATCH($Q60,'Control - Alt'!$C$32:$O$32,0)),
IFERROR(INDEX(Stockpile!$C$10:$M$26,MATCH(L$97,Stockpile!$B$10:$B$26,0),MATCH($Q60,Stockpile!$C$30:$M$30,0)),
IFERROR(INDEX('Asphalt Silo &amp; Unloading'!$D$10:$M$44,MATCH(L$97,'Asphalt Silo &amp; Unloading'!$B$10:$B$44,0),MATCH($Q60,'Asphalt Silo &amp; Unloading'!$D$49:$M$49,0)),""))))))</f>
        <v/>
      </c>
      <c r="M60" s="590" t="str">
        <f>IFERROR(INDEX('Material Handling'!$C$10:$AH$33,MATCH(M$97,Material_Handling[Data],0),MATCH($Q60,'Material Handling'!$C$40:$AH$40,0)), IFERROR(INDEX('Drop Point'!$B$13:$M$36,MATCH(M$97,'Drop Point'!$B$13:$B$37,0),MATCH($Q60,'Drop Point'!$B$41:$M$41,0)),
IFERROR(INDEX('Control - Grain dscf'!$C$11:$N$27,MATCH(M$97,'Control - Grain dscf'!$B$11:$B$27,0),MATCH($Q60,'Control - Grain dscf'!$C$32:$N$32,0)),
IFERROR(INDEX('Control - Alt'!$C$9:$O$27,MATCH(M$97,'Control - Alt'!$B$9:$B$27,0),MATCH($Q60,'Control - Alt'!$C$32:$O$32,0)),
IFERROR(INDEX(Stockpile!$C$10:$M$26,MATCH(M$97,Stockpile!$B$10:$B$26,0),MATCH($Q60,Stockpile!$C$30:$M$30,0)),
IFERROR(INDEX('Asphalt Silo &amp; Unloading'!$D$10:$M$44,MATCH(M$97,'Asphalt Silo &amp; Unloading'!$B$10:$B$44,0),MATCH($Q60,'Asphalt Silo &amp; Unloading'!$D$49:$M$49,0)),""))))))</f>
        <v/>
      </c>
      <c r="N60" s="590" t="str">
        <f>IFERROR(INDEX('Material Handling'!$C$10:$AH$33,MATCH(N$97,Material_Handling[Data],0),MATCH($Q60,'Material Handling'!$C$40:$AH$40,0)), IFERROR(INDEX('Drop Point'!$B$13:$M$36,MATCH(N$97,'Drop Point'!$B$13:$B$37,0),MATCH($Q60,'Drop Point'!$B$41:$M$41,0)),
IFERROR(INDEX('Control - Grain dscf'!$C$11:$N$27,MATCH(N$97,'Control - Grain dscf'!$B$11:$B$27,0),MATCH($Q60,'Control - Grain dscf'!$C$32:$N$32,0)),
IFERROR(INDEX('Control - Alt'!$C$9:$O$27,MATCH(N$97,'Control - Alt'!$B$9:$B$27,0),MATCH($Q60,'Control - Alt'!$C$32:$O$32,0)),
IFERROR(INDEX(Stockpile!$C$10:$M$26,MATCH(N$97,Stockpile!$B$10:$B$26,0),MATCH($Q60,Stockpile!$C$30:$M$30,0)),
IFERROR(INDEX('Asphalt Silo &amp; Unloading'!$D$10:$M$44,MATCH(N$97,'Asphalt Silo &amp; Unloading'!$B$10:$B$44,0),MATCH($Q60,'Asphalt Silo &amp; Unloading'!$D$49:$M$49,0)),""))))))</f>
        <v/>
      </c>
      <c r="O60" s="591" t="str">
        <f>IFERROR(INDEX('Material Handling'!$C$10:$AH$33,MATCH(O$97,Material_Handling[Data],0),MATCH($Q60,'Material Handling'!$C$40:$AH$40,0)), IFERROR(INDEX('Drop Point'!$B$13:$M$36,MATCH(O$97,'Drop Point'!$B$13:$B$37,0),MATCH($Q60,'Drop Point'!$B$41:$M$41,0)),
IFERROR(INDEX('Control - Grain dscf'!$C$11:$N$27,MATCH(O$97,'Control - Grain dscf'!$B$11:$B$27,0),MATCH($Q60,'Control - Grain dscf'!$C$32:$N$32,0)),
IFERROR(INDEX('Control - Alt'!$C$9:$O$27,MATCH(O$97,'Control - Alt'!$B$9:$B$27,0),MATCH($Q60,'Control - Alt'!$C$32:$O$32,0)),
IFERROR(INDEX(Stockpile!$C$10:$M$26,MATCH(O$97,Stockpile!$B$10:$B$26,0),MATCH($Q60,Stockpile!$C$30:$M$30,0)),
IFERROR(INDEX('Asphalt Silo &amp; Unloading'!$D$10:$M$44,MATCH(O$97,'Asphalt Silo &amp; Unloading'!$B$10:$B$44,0),MATCH($Q60,'Asphalt Silo &amp; Unloading'!$D$49:$M$49,0)),""))))))</f>
        <v/>
      </c>
      <c r="Q60" s="131">
        <f t="shared" si="1"/>
        <v>52</v>
      </c>
    </row>
    <row r="61" spans="1:17" ht="20.100000000000001" customHeight="1">
      <c r="A61" s="293" t="str">
        <f>IFERROR(INDEX('Material Handling'!$C$10:$AH$33,MATCH(A$97,Material_Handling[Data],0),MATCH($Q61,'Material Handling'!$C$40:$AH$40,0)), IFERROR(INDEX('Drop Point'!$B$13:$M$36,MATCH(A$97,'Drop Point'!$B$13:$B$37,0),MATCH($Q61,'Drop Point'!$B$41:$M$41,0)),
IFERROR(INDEX('Control - Grain dscf'!$C$11:$N$27,MATCH(A$97,'Control - Grain dscf'!$B$11:$B$27,0),MATCH($Q61,'Control - Grain dscf'!$C$32:$N$32,0)),
IFERROR(INDEX('Control - Alt'!$C$9:$O$27,MATCH(A$97,'Control - Alt'!$B$9:$B$27,0),MATCH($Q61,'Control - Alt'!$C$32:$O$32,0)),
IFERROR(INDEX(Stockpile!$C$10:$M$26,MATCH(A$97,Stockpile!$B$10:$B$26,0),MATCH($Q61,Stockpile!$C$30:$M$30,0)),
IFERROR(INDEX('Asphalt Silo &amp; Unloading'!$D$10:$M$44,MATCH(A$97,'Asphalt Silo &amp; Unloading'!$B$10:$B$44,0),MATCH($Q61,'Asphalt Silo &amp; Unloading'!$D$49:$M$49,0)),""))))))</f>
        <v/>
      </c>
      <c r="B61" s="135" t="str">
        <f>IFERROR(INDEX('Material Handling'!$C$10:$AH$33,MATCH(B$97,Material_Handling[Data],0),MATCH($Q61,'Material Handling'!$C$40:$AH$40,0)), IFERROR(INDEX('Drop Point'!$B$13:$M$36,MATCH(B$97,'Drop Point'!$B$13:$B$37,0),MATCH($Q61,'Drop Point'!$B$41:$M$41,0)),
IFERROR(INDEX('Control - Grain dscf'!$C$11:$N$27,MATCH(B$97,'Control - Grain dscf'!$B$11:$B$27,0),MATCH($Q61,'Control - Grain dscf'!$C$32:$N$32,0)),
IFERROR(INDEX('Control - Alt'!$C$9:$O$27,MATCH(B$97,'Control - Alt'!$B$9:$B$27,0),MATCH($Q61,'Control - Alt'!$C$32:$O$32,0)),
IFERROR(INDEX(Stockpile!$C$10:$M$26,MATCH(B$97,Stockpile!$B$10:$B$26,0),MATCH($Q61,Stockpile!$C$30:$M$30,0)),
IFERROR(INDEX('Asphalt Silo &amp; Unloading'!$D$10:$M$44,MATCH(B$97,'Asphalt Silo &amp; Unloading'!$B$10:$B$44,0),MATCH($Q61,'Asphalt Silo &amp; Unloading'!$D$49:$M$49,0)),""))))))</f>
        <v/>
      </c>
      <c r="C61" s="135" t="str">
        <f>IFERROR(INDEX('Material Handling'!$C$10:$AH$33,MATCH(C$97,Material_Handling[Data],0),MATCH($Q61,'Material Handling'!$C$40:$AH$40,0)), IFERROR(INDEX('Drop Point'!$B$13:$M$36,MATCH(C$97,'Drop Point'!$B$13:$B$37,0),MATCH($Q61,'Drop Point'!$B$41:$M$41,0)),
IFERROR(INDEX('Control - Grain dscf'!$C$11:$N$27,MATCH(C$97,'Control - Grain dscf'!$B$11:$B$27,0),MATCH($Q61,'Control - Grain dscf'!$C$32:$N$32,0)),
IFERROR(INDEX('Control - Alt'!$C$9:$O$27,MATCH(C$97,'Control - Alt'!$B$9:$B$27,0),MATCH($Q61,'Control - Alt'!$C$32:$O$32,0)),
IFERROR(INDEX(Stockpile!$C$10:$M$26,MATCH(C$97,Stockpile!$B$10:$B$26,0),MATCH($Q61,Stockpile!$C$30:$M$30,0)),
IFERROR(INDEX('Asphalt Silo &amp; Unloading'!$D$10:$M$44,MATCH(C$97,'Asphalt Silo &amp; Unloading'!$B$10:$B$44,0),MATCH($Q61,'Asphalt Silo &amp; Unloading'!$D$49:$M$49,0)),""))))))</f>
        <v/>
      </c>
      <c r="D61" s="135" t="str">
        <f>IFERROR(INDEX('Material Handling'!$C$10:$AH$33,MATCH(D$97,Material_Handling[Data],0),MATCH($Q61,'Material Handling'!$C$40:$AH$40,0)), IFERROR(INDEX('Drop Point'!$B$13:$M$36,MATCH(D$97,'Drop Point'!$B$13:$B$37,0),MATCH($Q61,'Drop Point'!$B$41:$M$41,0)),
IFERROR(INDEX('Control - Grain dscf'!$C$11:$N$27,MATCH(D$97,'Control - Grain dscf'!$B$11:$B$27,0),MATCH($Q61,'Control - Grain dscf'!$C$32:$N$32,0)),
IFERROR(INDEX('Control - Alt'!$C$9:$O$27,MATCH(D$97,'Control - Alt'!$B$9:$B$27,0),MATCH($Q61,'Control - Alt'!$C$32:$O$32,0)),
IFERROR(INDEX(Stockpile!$C$10:$M$26,MATCH(D$97,Stockpile!$B$10:$B$26,0),MATCH($Q61,Stockpile!$C$30:$M$30,0)),
IFERROR(INDEX('Asphalt Silo &amp; Unloading'!$D$10:$M$44,MATCH(D$97,'Asphalt Silo &amp; Unloading'!$B$10:$B$44,0),MATCH($Q61,'Asphalt Silo &amp; Unloading'!$D$49:$M$49,0)),""))))))</f>
        <v/>
      </c>
      <c r="E61" s="620" t="str">
        <f>IFERROR(INDEX('Material Handling'!$C$10:$AH$33,MATCH(E$97,Material_Handling[Data],0),MATCH($Q61,'Material Handling'!$C$40:$AH$40,0)), IFERROR(INDEX('Drop Point'!$B$13:$M$36,MATCH(E$97,'Drop Point'!$B$13:$B$37,0),MATCH($Q61,'Drop Point'!$B$41:$M$41,0)),
IFERROR(INDEX('Control - Grain dscf'!$C$11:$N$27,MATCH(E$97,'Control - Grain dscf'!$B$11:$B$27,0),MATCH($Q61,'Control - Grain dscf'!$C$32:$N$32,0)),
IFERROR(INDEX('Control - Alt'!$C$9:$O$27,MATCH(E$97,'Control - Alt'!$B$9:$B$27,0),MATCH($Q61,'Control - Alt'!$C$32:$O$32,0)),
IFERROR(INDEX(Stockpile!$C$10:$M$26,MATCH(E$97,Stockpile!$B$10:$B$26,0),MATCH($Q61,Stockpile!$C$30:$M$30,0)),
IFERROR(INDEX('Asphalt Silo &amp; Unloading'!$D$10:$M$44,MATCH(E$97,'Asphalt Silo &amp; Unloading'!$B$10:$B$44,0),MATCH($Q61,'Asphalt Silo &amp; Unloading'!$D$49:$M$49,0)),""))))))</f>
        <v/>
      </c>
      <c r="F61" s="590" t="str">
        <f>IFERROR(INDEX('Material Handling'!$C$10:$AH$33,MATCH(F$97,Material_Handling[Data],0),MATCH($Q61,'Material Handling'!$C$40:$AH$40,0)), IFERROR(INDEX('Drop Point'!$B$13:$M$36,MATCH(F$97,'Drop Point'!$B$13:$B$37,0),MATCH($Q61,'Drop Point'!$B$41:$M$41,0)),
IFERROR(INDEX('Control - Grain dscf'!$C$11:$N$27,MATCH(F$97,'Control - Grain dscf'!$B$11:$B$27,0),MATCH($Q61,'Control - Grain dscf'!$C$32:$N$32,0)),
IFERROR(INDEX('Control - Alt'!$C$9:$O$27,MATCH(F$97,'Control - Alt'!$B$9:$B$27,0),MATCH($Q61,'Control - Alt'!$C$32:$O$32,0)),
IFERROR(INDEX(Stockpile!$C$10:$M$26,MATCH(F$97,Stockpile!$B$10:$B$26,0),MATCH($Q61,Stockpile!$C$30:$M$30,0)),
IFERROR(INDEX('Asphalt Silo &amp; Unloading'!$D$10:$M$44,MATCH(F$97,'Asphalt Silo &amp; Unloading'!$B$10:$B$44,0),MATCH($Q61,'Asphalt Silo &amp; Unloading'!$D$49:$M$49,0)),""))))))</f>
        <v/>
      </c>
      <c r="G61" s="590" t="str">
        <f>IFERROR(INDEX('Material Handling'!$C$10:$AH$33,MATCH(G$97,Material_Handling[Data],0),MATCH($Q61,'Material Handling'!$C$40:$AH$40,0)), IFERROR(INDEX('Drop Point'!$B$13:$M$36,MATCH(G$97,'Drop Point'!$B$13:$B$37,0),MATCH($Q61,'Drop Point'!$B$41:$M$41,0)),
IFERROR(INDEX('Control - Grain dscf'!$C$11:$N$27,MATCH(G$97,'Control - Grain dscf'!$B$11:$B$27,0),MATCH($Q61,'Control - Grain dscf'!$C$32:$N$32,0)),
IFERROR(INDEX('Control - Alt'!$C$9:$O$27,MATCH(G$97,'Control - Alt'!$B$9:$B$27,0),MATCH($Q61,'Control - Alt'!$C$32:$O$32,0)),
IFERROR(INDEX(Stockpile!$C$10:$M$26,MATCH(G$97,Stockpile!$B$10:$B$26,0),MATCH($Q61,Stockpile!$C$30:$M$30,0)),
IFERROR(INDEX('Asphalt Silo &amp; Unloading'!$D$10:$M$44,MATCH(G$97,'Asphalt Silo &amp; Unloading'!$B$10:$B$44,0),MATCH($Q61,'Asphalt Silo &amp; Unloading'!$D$49:$M$49,0)),""))))))</f>
        <v/>
      </c>
      <c r="H61" s="590" t="str">
        <f>IFERROR(INDEX('Material Handling'!$C$10:$AH$33,MATCH(H$97,Material_Handling[Data],0),MATCH($Q61,'Material Handling'!$C$40:$AH$40,0)), IFERROR(INDEX('Drop Point'!$B$13:$M$36,MATCH(H$97,'Drop Point'!$B$13:$B$37,0),MATCH($Q61,'Drop Point'!$B$41:$M$41,0)),
IFERROR(INDEX('Control - Grain dscf'!$C$11:$N$27,MATCH(H$97,'Control - Grain dscf'!$B$11:$B$27,0),MATCH($Q61,'Control - Grain dscf'!$C$32:$N$32,0)),
IFERROR(INDEX('Control - Alt'!$C$9:$O$27,MATCH(H$97,'Control - Alt'!$B$9:$B$27,0),MATCH($Q61,'Control - Alt'!$C$32:$O$32,0)),
IFERROR(INDEX(Stockpile!$C$10:$M$26,MATCH(H$97,Stockpile!$B$10:$B$26,0),MATCH($Q61,Stockpile!$C$30:$M$30,0)),
IFERROR(INDEX('Asphalt Silo &amp; Unloading'!$D$10:$M$44,MATCH(H$97,'Asphalt Silo &amp; Unloading'!$B$10:$B$44,0),MATCH($Q61,'Asphalt Silo &amp; Unloading'!$D$49:$M$49,0)),""))))))</f>
        <v/>
      </c>
      <c r="I61" s="590" t="str">
        <f>IFERROR(INDEX('Material Handling'!$C$10:$AH$33,MATCH(I$97,Material_Handling[Data],0),MATCH($Q61,'Material Handling'!$C$40:$AH$40,0)), IFERROR(INDEX('Drop Point'!$B$13:$M$36,MATCH(I$97,'Drop Point'!$B$13:$B$37,0),MATCH($Q61,'Drop Point'!$B$41:$M$41,0)),
IFERROR(INDEX('Control - Grain dscf'!$C$11:$N$27,MATCH(I$97,'Control - Grain dscf'!$B$11:$B$27,0),MATCH($Q61,'Control - Grain dscf'!$C$32:$N$32,0)),
IFERROR(INDEX('Control - Alt'!$C$9:$O$27,MATCH(I$97,'Control - Alt'!$B$9:$B$27,0),MATCH($Q61,'Control - Alt'!$C$32:$O$32,0)),
IFERROR(INDEX(Stockpile!$C$10:$M$26,MATCH(I$97,Stockpile!$B$10:$B$26,0),MATCH($Q61,Stockpile!$C$30:$M$30,0)),
IFERROR(INDEX('Asphalt Silo &amp; Unloading'!$D$10:$M$44,MATCH(I$97,'Asphalt Silo &amp; Unloading'!$B$10:$B$44,0),MATCH($Q61,'Asphalt Silo &amp; Unloading'!$D$49:$M$49,0)),""))))))</f>
        <v/>
      </c>
      <c r="J61" s="590" t="str">
        <f>IFERROR(INDEX('Material Handling'!$C$10:$AH$33,MATCH(J$97,Material_Handling[Data],0),MATCH($Q61,'Material Handling'!$C$40:$AH$40,0)), IFERROR(INDEX('Drop Point'!$B$13:$M$36,MATCH(J$97,'Drop Point'!$B$13:$B$37,0),MATCH($Q61,'Drop Point'!$B$41:$M$41,0)),
IFERROR(INDEX('Control - Grain dscf'!$C$11:$N$27,MATCH(J$97,'Control - Grain dscf'!$B$11:$B$27,0),MATCH($Q61,'Control - Grain dscf'!$C$32:$N$32,0)),
IFERROR(INDEX('Control - Alt'!$C$9:$O$27,MATCH(J$97,'Control - Alt'!$B$9:$B$27,0),MATCH($Q61,'Control - Alt'!$C$32:$O$32,0)),
IFERROR(INDEX(Stockpile!$C$10:$M$26,MATCH(J$97,Stockpile!$B$10:$B$26,0),MATCH($Q61,Stockpile!$C$30:$M$30,0)),
IFERROR(INDEX('Asphalt Silo &amp; Unloading'!$D$10:$M$44,MATCH(J$97,'Asphalt Silo &amp; Unloading'!$B$10:$B$44,0),MATCH($Q61,'Asphalt Silo &amp; Unloading'!$D$49:$M$49,0)),""))))))</f>
        <v/>
      </c>
      <c r="K61" s="590" t="str">
        <f>IFERROR(INDEX('Material Handling'!$C$10:$AH$33,MATCH(K$97,Material_Handling[Data],0),MATCH($Q61,'Material Handling'!$C$40:$AH$40,0)), IFERROR(INDEX('Drop Point'!$B$13:$M$36,MATCH(K$97,'Drop Point'!$B$13:$B$37,0),MATCH($Q61,'Drop Point'!$B$41:$M$41,0)),
IFERROR(INDEX('Control - Grain dscf'!$C$11:$N$27,MATCH(K$97,'Control - Grain dscf'!$B$11:$B$27,0),MATCH($Q61,'Control - Grain dscf'!$C$32:$N$32,0)),
IFERROR(INDEX('Control - Alt'!$C$9:$O$27,MATCH(K$97,'Control - Alt'!$B$9:$B$27,0),MATCH($Q61,'Control - Alt'!$C$32:$O$32,0)),
IFERROR(INDEX(Stockpile!$C$10:$M$26,MATCH(K$97,Stockpile!$B$10:$B$26,0),MATCH($Q61,Stockpile!$C$30:$M$30,0)),
IFERROR(INDEX('Asphalt Silo &amp; Unloading'!$D$10:$M$44,MATCH(K$97,'Asphalt Silo &amp; Unloading'!$B$10:$B$44,0),MATCH($Q61,'Asphalt Silo &amp; Unloading'!$D$49:$M$49,0)),""))))))</f>
        <v/>
      </c>
      <c r="L61" s="590" t="str">
        <f>IFERROR(INDEX('Material Handling'!$C$10:$AH$33,MATCH(L$97,Material_Handling[Data],0),MATCH($Q61,'Material Handling'!$C$40:$AH$40,0)), IFERROR(INDEX('Drop Point'!$B$13:$M$36,MATCH(L$97,'Drop Point'!$B$13:$B$37,0),MATCH($Q61,'Drop Point'!$B$41:$M$41,0)),
IFERROR(INDEX('Control - Grain dscf'!$C$11:$N$27,MATCH(L$97,'Control - Grain dscf'!$B$11:$B$27,0),MATCH($Q61,'Control - Grain dscf'!$C$32:$N$32,0)),
IFERROR(INDEX('Control - Alt'!$C$9:$O$27,MATCH(L$97,'Control - Alt'!$B$9:$B$27,0),MATCH($Q61,'Control - Alt'!$C$32:$O$32,0)),
IFERROR(INDEX(Stockpile!$C$10:$M$26,MATCH(L$97,Stockpile!$B$10:$B$26,0),MATCH($Q61,Stockpile!$C$30:$M$30,0)),
IFERROR(INDEX('Asphalt Silo &amp; Unloading'!$D$10:$M$44,MATCH(L$97,'Asphalt Silo &amp; Unloading'!$B$10:$B$44,0),MATCH($Q61,'Asphalt Silo &amp; Unloading'!$D$49:$M$49,0)),""))))))</f>
        <v/>
      </c>
      <c r="M61" s="590" t="str">
        <f>IFERROR(INDEX('Material Handling'!$C$10:$AH$33,MATCH(M$97,Material_Handling[Data],0),MATCH($Q61,'Material Handling'!$C$40:$AH$40,0)), IFERROR(INDEX('Drop Point'!$B$13:$M$36,MATCH(M$97,'Drop Point'!$B$13:$B$37,0),MATCH($Q61,'Drop Point'!$B$41:$M$41,0)),
IFERROR(INDEX('Control - Grain dscf'!$C$11:$N$27,MATCH(M$97,'Control - Grain dscf'!$B$11:$B$27,0),MATCH($Q61,'Control - Grain dscf'!$C$32:$N$32,0)),
IFERROR(INDEX('Control - Alt'!$C$9:$O$27,MATCH(M$97,'Control - Alt'!$B$9:$B$27,0),MATCH($Q61,'Control - Alt'!$C$32:$O$32,0)),
IFERROR(INDEX(Stockpile!$C$10:$M$26,MATCH(M$97,Stockpile!$B$10:$B$26,0),MATCH($Q61,Stockpile!$C$30:$M$30,0)),
IFERROR(INDEX('Asphalt Silo &amp; Unloading'!$D$10:$M$44,MATCH(M$97,'Asphalt Silo &amp; Unloading'!$B$10:$B$44,0),MATCH($Q61,'Asphalt Silo &amp; Unloading'!$D$49:$M$49,0)),""))))))</f>
        <v/>
      </c>
      <c r="N61" s="590" t="str">
        <f>IFERROR(INDEX('Material Handling'!$C$10:$AH$33,MATCH(N$97,Material_Handling[Data],0),MATCH($Q61,'Material Handling'!$C$40:$AH$40,0)), IFERROR(INDEX('Drop Point'!$B$13:$M$36,MATCH(N$97,'Drop Point'!$B$13:$B$37,0),MATCH($Q61,'Drop Point'!$B$41:$M$41,0)),
IFERROR(INDEX('Control - Grain dscf'!$C$11:$N$27,MATCH(N$97,'Control - Grain dscf'!$B$11:$B$27,0),MATCH($Q61,'Control - Grain dscf'!$C$32:$N$32,0)),
IFERROR(INDEX('Control - Alt'!$C$9:$O$27,MATCH(N$97,'Control - Alt'!$B$9:$B$27,0),MATCH($Q61,'Control - Alt'!$C$32:$O$32,0)),
IFERROR(INDEX(Stockpile!$C$10:$M$26,MATCH(N$97,Stockpile!$B$10:$B$26,0),MATCH($Q61,Stockpile!$C$30:$M$30,0)),
IFERROR(INDEX('Asphalt Silo &amp; Unloading'!$D$10:$M$44,MATCH(N$97,'Asphalt Silo &amp; Unloading'!$B$10:$B$44,0),MATCH($Q61,'Asphalt Silo &amp; Unloading'!$D$49:$M$49,0)),""))))))</f>
        <v/>
      </c>
      <c r="O61" s="591" t="str">
        <f>IFERROR(INDEX('Material Handling'!$C$10:$AH$33,MATCH(O$97,Material_Handling[Data],0),MATCH($Q61,'Material Handling'!$C$40:$AH$40,0)), IFERROR(INDEX('Drop Point'!$B$13:$M$36,MATCH(O$97,'Drop Point'!$B$13:$B$37,0),MATCH($Q61,'Drop Point'!$B$41:$M$41,0)),
IFERROR(INDEX('Control - Grain dscf'!$C$11:$N$27,MATCH(O$97,'Control - Grain dscf'!$B$11:$B$27,0),MATCH($Q61,'Control - Grain dscf'!$C$32:$N$32,0)),
IFERROR(INDEX('Control - Alt'!$C$9:$O$27,MATCH(O$97,'Control - Alt'!$B$9:$B$27,0),MATCH($Q61,'Control - Alt'!$C$32:$O$32,0)),
IFERROR(INDEX(Stockpile!$C$10:$M$26,MATCH(O$97,Stockpile!$B$10:$B$26,0),MATCH($Q61,Stockpile!$C$30:$M$30,0)),
IFERROR(INDEX('Asphalt Silo &amp; Unloading'!$D$10:$M$44,MATCH(O$97,'Asphalt Silo &amp; Unloading'!$B$10:$B$44,0),MATCH($Q61,'Asphalt Silo &amp; Unloading'!$D$49:$M$49,0)),""))))))</f>
        <v/>
      </c>
      <c r="Q61" s="131">
        <f t="shared" si="1"/>
        <v>53</v>
      </c>
    </row>
    <row r="62" spans="1:17" ht="20.100000000000001" customHeight="1">
      <c r="A62" s="293" t="str">
        <f>IFERROR(INDEX('Material Handling'!$C$10:$AH$33,MATCH(A$97,Material_Handling[Data],0),MATCH($Q62,'Material Handling'!$C$40:$AH$40,0)), IFERROR(INDEX('Drop Point'!$B$13:$M$36,MATCH(A$97,'Drop Point'!$B$13:$B$37,0),MATCH($Q62,'Drop Point'!$B$41:$M$41,0)),
IFERROR(INDEX('Control - Grain dscf'!$C$11:$N$27,MATCH(A$97,'Control - Grain dscf'!$B$11:$B$27,0),MATCH($Q62,'Control - Grain dscf'!$C$32:$N$32,0)),
IFERROR(INDEX('Control - Alt'!$C$9:$O$27,MATCH(A$97,'Control - Alt'!$B$9:$B$27,0),MATCH($Q62,'Control - Alt'!$C$32:$O$32,0)),
IFERROR(INDEX(Stockpile!$C$10:$M$26,MATCH(A$97,Stockpile!$B$10:$B$26,0),MATCH($Q62,Stockpile!$C$30:$M$30,0)),
IFERROR(INDEX('Asphalt Silo &amp; Unloading'!$D$10:$M$44,MATCH(A$97,'Asphalt Silo &amp; Unloading'!$B$10:$B$44,0),MATCH($Q62,'Asphalt Silo &amp; Unloading'!$D$49:$M$49,0)),""))))))</f>
        <v/>
      </c>
      <c r="B62" s="135" t="str">
        <f>IFERROR(INDEX('Material Handling'!$C$10:$AH$33,MATCH(B$97,Material_Handling[Data],0),MATCH($Q62,'Material Handling'!$C$40:$AH$40,0)), IFERROR(INDEX('Drop Point'!$B$13:$M$36,MATCH(B$97,'Drop Point'!$B$13:$B$37,0),MATCH($Q62,'Drop Point'!$B$41:$M$41,0)),
IFERROR(INDEX('Control - Grain dscf'!$C$11:$N$27,MATCH(B$97,'Control - Grain dscf'!$B$11:$B$27,0),MATCH($Q62,'Control - Grain dscf'!$C$32:$N$32,0)),
IFERROR(INDEX('Control - Alt'!$C$9:$O$27,MATCH(B$97,'Control - Alt'!$B$9:$B$27,0),MATCH($Q62,'Control - Alt'!$C$32:$O$32,0)),
IFERROR(INDEX(Stockpile!$C$10:$M$26,MATCH(B$97,Stockpile!$B$10:$B$26,0),MATCH($Q62,Stockpile!$C$30:$M$30,0)),
IFERROR(INDEX('Asphalt Silo &amp; Unloading'!$D$10:$M$44,MATCH(B$97,'Asphalt Silo &amp; Unloading'!$B$10:$B$44,0),MATCH($Q62,'Asphalt Silo &amp; Unloading'!$D$49:$M$49,0)),""))))))</f>
        <v/>
      </c>
      <c r="C62" s="135" t="str">
        <f>IFERROR(INDEX('Material Handling'!$C$10:$AH$33,MATCH(C$97,Material_Handling[Data],0),MATCH($Q62,'Material Handling'!$C$40:$AH$40,0)), IFERROR(INDEX('Drop Point'!$B$13:$M$36,MATCH(C$97,'Drop Point'!$B$13:$B$37,0),MATCH($Q62,'Drop Point'!$B$41:$M$41,0)),
IFERROR(INDEX('Control - Grain dscf'!$C$11:$N$27,MATCH(C$97,'Control - Grain dscf'!$B$11:$B$27,0),MATCH($Q62,'Control - Grain dscf'!$C$32:$N$32,0)),
IFERROR(INDEX('Control - Alt'!$C$9:$O$27,MATCH(C$97,'Control - Alt'!$B$9:$B$27,0),MATCH($Q62,'Control - Alt'!$C$32:$O$32,0)),
IFERROR(INDEX(Stockpile!$C$10:$M$26,MATCH(C$97,Stockpile!$B$10:$B$26,0),MATCH($Q62,Stockpile!$C$30:$M$30,0)),
IFERROR(INDEX('Asphalt Silo &amp; Unloading'!$D$10:$M$44,MATCH(C$97,'Asphalt Silo &amp; Unloading'!$B$10:$B$44,0),MATCH($Q62,'Asphalt Silo &amp; Unloading'!$D$49:$M$49,0)),""))))))</f>
        <v/>
      </c>
      <c r="D62" s="135" t="str">
        <f>IFERROR(INDEX('Material Handling'!$C$10:$AH$33,MATCH(D$97,Material_Handling[Data],0),MATCH($Q62,'Material Handling'!$C$40:$AH$40,0)), IFERROR(INDEX('Drop Point'!$B$13:$M$36,MATCH(D$97,'Drop Point'!$B$13:$B$37,0),MATCH($Q62,'Drop Point'!$B$41:$M$41,0)),
IFERROR(INDEX('Control - Grain dscf'!$C$11:$N$27,MATCH(D$97,'Control - Grain dscf'!$B$11:$B$27,0),MATCH($Q62,'Control - Grain dscf'!$C$32:$N$32,0)),
IFERROR(INDEX('Control - Alt'!$C$9:$O$27,MATCH(D$97,'Control - Alt'!$B$9:$B$27,0),MATCH($Q62,'Control - Alt'!$C$32:$O$32,0)),
IFERROR(INDEX(Stockpile!$C$10:$M$26,MATCH(D$97,Stockpile!$B$10:$B$26,0),MATCH($Q62,Stockpile!$C$30:$M$30,0)),
IFERROR(INDEX('Asphalt Silo &amp; Unloading'!$D$10:$M$44,MATCH(D$97,'Asphalt Silo &amp; Unloading'!$B$10:$B$44,0),MATCH($Q62,'Asphalt Silo &amp; Unloading'!$D$49:$M$49,0)),""))))))</f>
        <v/>
      </c>
      <c r="E62" s="620" t="str">
        <f>IFERROR(INDEX('Material Handling'!$C$10:$AH$33,MATCH(E$97,Material_Handling[Data],0),MATCH($Q62,'Material Handling'!$C$40:$AH$40,0)), IFERROR(INDEX('Drop Point'!$B$13:$M$36,MATCH(E$97,'Drop Point'!$B$13:$B$37,0),MATCH($Q62,'Drop Point'!$B$41:$M$41,0)),
IFERROR(INDEX('Control - Grain dscf'!$C$11:$N$27,MATCH(E$97,'Control - Grain dscf'!$B$11:$B$27,0),MATCH($Q62,'Control - Grain dscf'!$C$32:$N$32,0)),
IFERROR(INDEX('Control - Alt'!$C$9:$O$27,MATCH(E$97,'Control - Alt'!$B$9:$B$27,0),MATCH($Q62,'Control - Alt'!$C$32:$O$32,0)),
IFERROR(INDEX(Stockpile!$C$10:$M$26,MATCH(E$97,Stockpile!$B$10:$B$26,0),MATCH($Q62,Stockpile!$C$30:$M$30,0)),
IFERROR(INDEX('Asphalt Silo &amp; Unloading'!$D$10:$M$44,MATCH(E$97,'Asphalt Silo &amp; Unloading'!$B$10:$B$44,0),MATCH($Q62,'Asphalt Silo &amp; Unloading'!$D$49:$M$49,0)),""))))))</f>
        <v/>
      </c>
      <c r="F62" s="590" t="str">
        <f>IFERROR(INDEX('Material Handling'!$C$10:$AH$33,MATCH(F$97,Material_Handling[Data],0),MATCH($Q62,'Material Handling'!$C$40:$AH$40,0)), IFERROR(INDEX('Drop Point'!$B$13:$M$36,MATCH(F$97,'Drop Point'!$B$13:$B$37,0),MATCH($Q62,'Drop Point'!$B$41:$M$41,0)),
IFERROR(INDEX('Control - Grain dscf'!$C$11:$N$27,MATCH(F$97,'Control - Grain dscf'!$B$11:$B$27,0),MATCH($Q62,'Control - Grain dscf'!$C$32:$N$32,0)),
IFERROR(INDEX('Control - Alt'!$C$9:$O$27,MATCH(F$97,'Control - Alt'!$B$9:$B$27,0),MATCH($Q62,'Control - Alt'!$C$32:$O$32,0)),
IFERROR(INDEX(Stockpile!$C$10:$M$26,MATCH(F$97,Stockpile!$B$10:$B$26,0),MATCH($Q62,Stockpile!$C$30:$M$30,0)),
IFERROR(INDEX('Asphalt Silo &amp; Unloading'!$D$10:$M$44,MATCH(F$97,'Asphalt Silo &amp; Unloading'!$B$10:$B$44,0),MATCH($Q62,'Asphalt Silo &amp; Unloading'!$D$49:$M$49,0)),""))))))</f>
        <v/>
      </c>
      <c r="G62" s="590" t="str">
        <f>IFERROR(INDEX('Material Handling'!$C$10:$AH$33,MATCH(G$97,Material_Handling[Data],0),MATCH($Q62,'Material Handling'!$C$40:$AH$40,0)), IFERROR(INDEX('Drop Point'!$B$13:$M$36,MATCH(G$97,'Drop Point'!$B$13:$B$37,0),MATCH($Q62,'Drop Point'!$B$41:$M$41,0)),
IFERROR(INDEX('Control - Grain dscf'!$C$11:$N$27,MATCH(G$97,'Control - Grain dscf'!$B$11:$B$27,0),MATCH($Q62,'Control - Grain dscf'!$C$32:$N$32,0)),
IFERROR(INDEX('Control - Alt'!$C$9:$O$27,MATCH(G$97,'Control - Alt'!$B$9:$B$27,0),MATCH($Q62,'Control - Alt'!$C$32:$O$32,0)),
IFERROR(INDEX(Stockpile!$C$10:$M$26,MATCH(G$97,Stockpile!$B$10:$B$26,0),MATCH($Q62,Stockpile!$C$30:$M$30,0)),
IFERROR(INDEX('Asphalt Silo &amp; Unloading'!$D$10:$M$44,MATCH(G$97,'Asphalt Silo &amp; Unloading'!$B$10:$B$44,0),MATCH($Q62,'Asphalt Silo &amp; Unloading'!$D$49:$M$49,0)),""))))))</f>
        <v/>
      </c>
      <c r="H62" s="590" t="str">
        <f>IFERROR(INDEX('Material Handling'!$C$10:$AH$33,MATCH(H$97,Material_Handling[Data],0),MATCH($Q62,'Material Handling'!$C$40:$AH$40,0)), IFERROR(INDEX('Drop Point'!$B$13:$M$36,MATCH(H$97,'Drop Point'!$B$13:$B$37,0),MATCH($Q62,'Drop Point'!$B$41:$M$41,0)),
IFERROR(INDEX('Control - Grain dscf'!$C$11:$N$27,MATCH(H$97,'Control - Grain dscf'!$B$11:$B$27,0),MATCH($Q62,'Control - Grain dscf'!$C$32:$N$32,0)),
IFERROR(INDEX('Control - Alt'!$C$9:$O$27,MATCH(H$97,'Control - Alt'!$B$9:$B$27,0),MATCH($Q62,'Control - Alt'!$C$32:$O$32,0)),
IFERROR(INDEX(Stockpile!$C$10:$M$26,MATCH(H$97,Stockpile!$B$10:$B$26,0),MATCH($Q62,Stockpile!$C$30:$M$30,0)),
IFERROR(INDEX('Asphalt Silo &amp; Unloading'!$D$10:$M$44,MATCH(H$97,'Asphalt Silo &amp; Unloading'!$B$10:$B$44,0),MATCH($Q62,'Asphalt Silo &amp; Unloading'!$D$49:$M$49,0)),""))))))</f>
        <v/>
      </c>
      <c r="I62" s="590" t="str">
        <f>IFERROR(INDEX('Material Handling'!$C$10:$AH$33,MATCH(I$97,Material_Handling[Data],0),MATCH($Q62,'Material Handling'!$C$40:$AH$40,0)), IFERROR(INDEX('Drop Point'!$B$13:$M$36,MATCH(I$97,'Drop Point'!$B$13:$B$37,0),MATCH($Q62,'Drop Point'!$B$41:$M$41,0)),
IFERROR(INDEX('Control - Grain dscf'!$C$11:$N$27,MATCH(I$97,'Control - Grain dscf'!$B$11:$B$27,0),MATCH($Q62,'Control - Grain dscf'!$C$32:$N$32,0)),
IFERROR(INDEX('Control - Alt'!$C$9:$O$27,MATCH(I$97,'Control - Alt'!$B$9:$B$27,0),MATCH($Q62,'Control - Alt'!$C$32:$O$32,0)),
IFERROR(INDEX(Stockpile!$C$10:$M$26,MATCH(I$97,Stockpile!$B$10:$B$26,0),MATCH($Q62,Stockpile!$C$30:$M$30,0)),
IFERROR(INDEX('Asphalt Silo &amp; Unloading'!$D$10:$M$44,MATCH(I$97,'Asphalt Silo &amp; Unloading'!$B$10:$B$44,0),MATCH($Q62,'Asphalt Silo &amp; Unloading'!$D$49:$M$49,0)),""))))))</f>
        <v/>
      </c>
      <c r="J62" s="590" t="str">
        <f>IFERROR(INDEX('Material Handling'!$C$10:$AH$33,MATCH(J$97,Material_Handling[Data],0),MATCH($Q62,'Material Handling'!$C$40:$AH$40,0)), IFERROR(INDEX('Drop Point'!$B$13:$M$36,MATCH(J$97,'Drop Point'!$B$13:$B$37,0),MATCH($Q62,'Drop Point'!$B$41:$M$41,0)),
IFERROR(INDEX('Control - Grain dscf'!$C$11:$N$27,MATCH(J$97,'Control - Grain dscf'!$B$11:$B$27,0),MATCH($Q62,'Control - Grain dscf'!$C$32:$N$32,0)),
IFERROR(INDEX('Control - Alt'!$C$9:$O$27,MATCH(J$97,'Control - Alt'!$B$9:$B$27,0),MATCH($Q62,'Control - Alt'!$C$32:$O$32,0)),
IFERROR(INDEX(Stockpile!$C$10:$M$26,MATCH(J$97,Stockpile!$B$10:$B$26,0),MATCH($Q62,Stockpile!$C$30:$M$30,0)),
IFERROR(INDEX('Asphalt Silo &amp; Unloading'!$D$10:$M$44,MATCH(J$97,'Asphalt Silo &amp; Unloading'!$B$10:$B$44,0),MATCH($Q62,'Asphalt Silo &amp; Unloading'!$D$49:$M$49,0)),""))))))</f>
        <v/>
      </c>
      <c r="K62" s="590" t="str">
        <f>IFERROR(INDEX('Material Handling'!$C$10:$AH$33,MATCH(K$97,Material_Handling[Data],0),MATCH($Q62,'Material Handling'!$C$40:$AH$40,0)), IFERROR(INDEX('Drop Point'!$B$13:$M$36,MATCH(K$97,'Drop Point'!$B$13:$B$37,0),MATCH($Q62,'Drop Point'!$B$41:$M$41,0)),
IFERROR(INDEX('Control - Grain dscf'!$C$11:$N$27,MATCH(K$97,'Control - Grain dscf'!$B$11:$B$27,0),MATCH($Q62,'Control - Grain dscf'!$C$32:$N$32,0)),
IFERROR(INDEX('Control - Alt'!$C$9:$O$27,MATCH(K$97,'Control - Alt'!$B$9:$B$27,0),MATCH($Q62,'Control - Alt'!$C$32:$O$32,0)),
IFERROR(INDEX(Stockpile!$C$10:$M$26,MATCH(K$97,Stockpile!$B$10:$B$26,0),MATCH($Q62,Stockpile!$C$30:$M$30,0)),
IFERROR(INDEX('Asphalt Silo &amp; Unloading'!$D$10:$M$44,MATCH(K$97,'Asphalt Silo &amp; Unloading'!$B$10:$B$44,0),MATCH($Q62,'Asphalt Silo &amp; Unloading'!$D$49:$M$49,0)),""))))))</f>
        <v/>
      </c>
      <c r="L62" s="590" t="str">
        <f>IFERROR(INDEX('Material Handling'!$C$10:$AH$33,MATCH(L$97,Material_Handling[Data],0),MATCH($Q62,'Material Handling'!$C$40:$AH$40,0)), IFERROR(INDEX('Drop Point'!$B$13:$M$36,MATCH(L$97,'Drop Point'!$B$13:$B$37,0),MATCH($Q62,'Drop Point'!$B$41:$M$41,0)),
IFERROR(INDEX('Control - Grain dscf'!$C$11:$N$27,MATCH(L$97,'Control - Grain dscf'!$B$11:$B$27,0),MATCH($Q62,'Control - Grain dscf'!$C$32:$N$32,0)),
IFERROR(INDEX('Control - Alt'!$C$9:$O$27,MATCH(L$97,'Control - Alt'!$B$9:$B$27,0),MATCH($Q62,'Control - Alt'!$C$32:$O$32,0)),
IFERROR(INDEX(Stockpile!$C$10:$M$26,MATCH(L$97,Stockpile!$B$10:$B$26,0),MATCH($Q62,Stockpile!$C$30:$M$30,0)),
IFERROR(INDEX('Asphalt Silo &amp; Unloading'!$D$10:$M$44,MATCH(L$97,'Asphalt Silo &amp; Unloading'!$B$10:$B$44,0),MATCH($Q62,'Asphalt Silo &amp; Unloading'!$D$49:$M$49,0)),""))))))</f>
        <v/>
      </c>
      <c r="M62" s="590" t="str">
        <f>IFERROR(INDEX('Material Handling'!$C$10:$AH$33,MATCH(M$97,Material_Handling[Data],0),MATCH($Q62,'Material Handling'!$C$40:$AH$40,0)), IFERROR(INDEX('Drop Point'!$B$13:$M$36,MATCH(M$97,'Drop Point'!$B$13:$B$37,0),MATCH($Q62,'Drop Point'!$B$41:$M$41,0)),
IFERROR(INDEX('Control - Grain dscf'!$C$11:$N$27,MATCH(M$97,'Control - Grain dscf'!$B$11:$B$27,0),MATCH($Q62,'Control - Grain dscf'!$C$32:$N$32,0)),
IFERROR(INDEX('Control - Alt'!$C$9:$O$27,MATCH(M$97,'Control - Alt'!$B$9:$B$27,0),MATCH($Q62,'Control - Alt'!$C$32:$O$32,0)),
IFERROR(INDEX(Stockpile!$C$10:$M$26,MATCH(M$97,Stockpile!$B$10:$B$26,0),MATCH($Q62,Stockpile!$C$30:$M$30,0)),
IFERROR(INDEX('Asphalt Silo &amp; Unloading'!$D$10:$M$44,MATCH(M$97,'Asphalt Silo &amp; Unloading'!$B$10:$B$44,0),MATCH($Q62,'Asphalt Silo &amp; Unloading'!$D$49:$M$49,0)),""))))))</f>
        <v/>
      </c>
      <c r="N62" s="590" t="str">
        <f>IFERROR(INDEX('Material Handling'!$C$10:$AH$33,MATCH(N$97,Material_Handling[Data],0),MATCH($Q62,'Material Handling'!$C$40:$AH$40,0)), IFERROR(INDEX('Drop Point'!$B$13:$M$36,MATCH(N$97,'Drop Point'!$B$13:$B$37,0),MATCH($Q62,'Drop Point'!$B$41:$M$41,0)),
IFERROR(INDEX('Control - Grain dscf'!$C$11:$N$27,MATCH(N$97,'Control - Grain dscf'!$B$11:$B$27,0),MATCH($Q62,'Control - Grain dscf'!$C$32:$N$32,0)),
IFERROR(INDEX('Control - Alt'!$C$9:$O$27,MATCH(N$97,'Control - Alt'!$B$9:$B$27,0),MATCH($Q62,'Control - Alt'!$C$32:$O$32,0)),
IFERROR(INDEX(Stockpile!$C$10:$M$26,MATCH(N$97,Stockpile!$B$10:$B$26,0),MATCH($Q62,Stockpile!$C$30:$M$30,0)),
IFERROR(INDEX('Asphalt Silo &amp; Unloading'!$D$10:$M$44,MATCH(N$97,'Asphalt Silo &amp; Unloading'!$B$10:$B$44,0),MATCH($Q62,'Asphalt Silo &amp; Unloading'!$D$49:$M$49,0)),""))))))</f>
        <v/>
      </c>
      <c r="O62" s="591" t="str">
        <f>IFERROR(INDEX('Material Handling'!$C$10:$AH$33,MATCH(O$97,Material_Handling[Data],0),MATCH($Q62,'Material Handling'!$C$40:$AH$40,0)), IFERROR(INDEX('Drop Point'!$B$13:$M$36,MATCH(O$97,'Drop Point'!$B$13:$B$37,0),MATCH($Q62,'Drop Point'!$B$41:$M$41,0)),
IFERROR(INDEX('Control - Grain dscf'!$C$11:$N$27,MATCH(O$97,'Control - Grain dscf'!$B$11:$B$27,0),MATCH($Q62,'Control - Grain dscf'!$C$32:$N$32,0)),
IFERROR(INDEX('Control - Alt'!$C$9:$O$27,MATCH(O$97,'Control - Alt'!$B$9:$B$27,0),MATCH($Q62,'Control - Alt'!$C$32:$O$32,0)),
IFERROR(INDEX(Stockpile!$C$10:$M$26,MATCH(O$97,Stockpile!$B$10:$B$26,0),MATCH($Q62,Stockpile!$C$30:$M$30,0)),
IFERROR(INDEX('Asphalt Silo &amp; Unloading'!$D$10:$M$44,MATCH(O$97,'Asphalt Silo &amp; Unloading'!$B$10:$B$44,0),MATCH($Q62,'Asphalt Silo &amp; Unloading'!$D$49:$M$49,0)),""))))))</f>
        <v/>
      </c>
      <c r="Q62" s="131">
        <f t="shared" si="1"/>
        <v>54</v>
      </c>
    </row>
    <row r="63" spans="1:17" ht="20.100000000000001" customHeight="1">
      <c r="A63" s="293" t="str">
        <f>IFERROR(INDEX('Material Handling'!$C$10:$AH$33,MATCH(A$97,Material_Handling[Data],0),MATCH($Q63,'Material Handling'!$C$40:$AH$40,0)), IFERROR(INDEX('Drop Point'!$B$13:$M$36,MATCH(A$97,'Drop Point'!$B$13:$B$37,0),MATCH($Q63,'Drop Point'!$B$41:$M$41,0)),
IFERROR(INDEX('Control - Grain dscf'!$C$11:$N$27,MATCH(A$97,'Control - Grain dscf'!$B$11:$B$27,0),MATCH($Q63,'Control - Grain dscf'!$C$32:$N$32,0)),
IFERROR(INDEX('Control - Alt'!$C$9:$O$27,MATCH(A$97,'Control - Alt'!$B$9:$B$27,0),MATCH($Q63,'Control - Alt'!$C$32:$O$32,0)),
IFERROR(INDEX(Stockpile!$C$10:$M$26,MATCH(A$97,Stockpile!$B$10:$B$26,0),MATCH($Q63,Stockpile!$C$30:$M$30,0)),
IFERROR(INDEX('Asphalt Silo &amp; Unloading'!$D$10:$M$44,MATCH(A$97,'Asphalt Silo &amp; Unloading'!$B$10:$B$44,0),MATCH($Q63,'Asphalt Silo &amp; Unloading'!$D$49:$M$49,0)),""))))))</f>
        <v/>
      </c>
      <c r="B63" s="135" t="str">
        <f>IFERROR(INDEX('Material Handling'!$C$10:$AH$33,MATCH(B$97,Material_Handling[Data],0),MATCH($Q63,'Material Handling'!$C$40:$AH$40,0)), IFERROR(INDEX('Drop Point'!$B$13:$M$36,MATCH(B$97,'Drop Point'!$B$13:$B$37,0),MATCH($Q63,'Drop Point'!$B$41:$M$41,0)),
IFERROR(INDEX('Control - Grain dscf'!$C$11:$N$27,MATCH(B$97,'Control - Grain dscf'!$B$11:$B$27,0),MATCH($Q63,'Control - Grain dscf'!$C$32:$N$32,0)),
IFERROR(INDEX('Control - Alt'!$C$9:$O$27,MATCH(B$97,'Control - Alt'!$B$9:$B$27,0),MATCH($Q63,'Control - Alt'!$C$32:$O$32,0)),
IFERROR(INDEX(Stockpile!$C$10:$M$26,MATCH(B$97,Stockpile!$B$10:$B$26,0),MATCH($Q63,Stockpile!$C$30:$M$30,0)),
IFERROR(INDEX('Asphalt Silo &amp; Unloading'!$D$10:$M$44,MATCH(B$97,'Asphalt Silo &amp; Unloading'!$B$10:$B$44,0),MATCH($Q63,'Asphalt Silo &amp; Unloading'!$D$49:$M$49,0)),""))))))</f>
        <v/>
      </c>
      <c r="C63" s="135" t="str">
        <f>IFERROR(INDEX('Material Handling'!$C$10:$AH$33,MATCH(C$97,Material_Handling[Data],0),MATCH($Q63,'Material Handling'!$C$40:$AH$40,0)), IFERROR(INDEX('Drop Point'!$B$13:$M$36,MATCH(C$97,'Drop Point'!$B$13:$B$37,0),MATCH($Q63,'Drop Point'!$B$41:$M$41,0)),
IFERROR(INDEX('Control - Grain dscf'!$C$11:$N$27,MATCH(C$97,'Control - Grain dscf'!$B$11:$B$27,0),MATCH($Q63,'Control - Grain dscf'!$C$32:$N$32,0)),
IFERROR(INDEX('Control - Alt'!$C$9:$O$27,MATCH(C$97,'Control - Alt'!$B$9:$B$27,0),MATCH($Q63,'Control - Alt'!$C$32:$O$32,0)),
IFERROR(INDEX(Stockpile!$C$10:$M$26,MATCH(C$97,Stockpile!$B$10:$B$26,0),MATCH($Q63,Stockpile!$C$30:$M$30,0)),
IFERROR(INDEX('Asphalt Silo &amp; Unloading'!$D$10:$M$44,MATCH(C$97,'Asphalt Silo &amp; Unloading'!$B$10:$B$44,0),MATCH($Q63,'Asphalt Silo &amp; Unloading'!$D$49:$M$49,0)),""))))))</f>
        <v/>
      </c>
      <c r="D63" s="135" t="str">
        <f>IFERROR(INDEX('Material Handling'!$C$10:$AH$33,MATCH(D$97,Material_Handling[Data],0),MATCH($Q63,'Material Handling'!$C$40:$AH$40,0)), IFERROR(INDEX('Drop Point'!$B$13:$M$36,MATCH(D$97,'Drop Point'!$B$13:$B$37,0),MATCH($Q63,'Drop Point'!$B$41:$M$41,0)),
IFERROR(INDEX('Control - Grain dscf'!$C$11:$N$27,MATCH(D$97,'Control - Grain dscf'!$B$11:$B$27,0),MATCH($Q63,'Control - Grain dscf'!$C$32:$N$32,0)),
IFERROR(INDEX('Control - Alt'!$C$9:$O$27,MATCH(D$97,'Control - Alt'!$B$9:$B$27,0),MATCH($Q63,'Control - Alt'!$C$32:$O$32,0)),
IFERROR(INDEX(Stockpile!$C$10:$M$26,MATCH(D$97,Stockpile!$B$10:$B$26,0),MATCH($Q63,Stockpile!$C$30:$M$30,0)),
IFERROR(INDEX('Asphalt Silo &amp; Unloading'!$D$10:$M$44,MATCH(D$97,'Asphalt Silo &amp; Unloading'!$B$10:$B$44,0),MATCH($Q63,'Asphalt Silo &amp; Unloading'!$D$49:$M$49,0)),""))))))</f>
        <v/>
      </c>
      <c r="E63" s="620" t="str">
        <f>IFERROR(INDEX('Material Handling'!$C$10:$AH$33,MATCH(E$97,Material_Handling[Data],0),MATCH($Q63,'Material Handling'!$C$40:$AH$40,0)), IFERROR(INDEX('Drop Point'!$B$13:$M$36,MATCH(E$97,'Drop Point'!$B$13:$B$37,0),MATCH($Q63,'Drop Point'!$B$41:$M$41,0)),
IFERROR(INDEX('Control - Grain dscf'!$C$11:$N$27,MATCH(E$97,'Control - Grain dscf'!$B$11:$B$27,0),MATCH($Q63,'Control - Grain dscf'!$C$32:$N$32,0)),
IFERROR(INDEX('Control - Alt'!$C$9:$O$27,MATCH(E$97,'Control - Alt'!$B$9:$B$27,0),MATCH($Q63,'Control - Alt'!$C$32:$O$32,0)),
IFERROR(INDEX(Stockpile!$C$10:$M$26,MATCH(E$97,Stockpile!$B$10:$B$26,0),MATCH($Q63,Stockpile!$C$30:$M$30,0)),
IFERROR(INDEX('Asphalt Silo &amp; Unloading'!$D$10:$M$44,MATCH(E$97,'Asphalt Silo &amp; Unloading'!$B$10:$B$44,0),MATCH($Q63,'Asphalt Silo &amp; Unloading'!$D$49:$M$49,0)),""))))))</f>
        <v/>
      </c>
      <c r="F63" s="590" t="str">
        <f>IFERROR(INDEX('Material Handling'!$C$10:$AH$33,MATCH(F$97,Material_Handling[Data],0),MATCH($Q63,'Material Handling'!$C$40:$AH$40,0)), IFERROR(INDEX('Drop Point'!$B$13:$M$36,MATCH(F$97,'Drop Point'!$B$13:$B$37,0),MATCH($Q63,'Drop Point'!$B$41:$M$41,0)),
IFERROR(INDEX('Control - Grain dscf'!$C$11:$N$27,MATCH(F$97,'Control - Grain dscf'!$B$11:$B$27,0),MATCH($Q63,'Control - Grain dscf'!$C$32:$N$32,0)),
IFERROR(INDEX('Control - Alt'!$C$9:$O$27,MATCH(F$97,'Control - Alt'!$B$9:$B$27,0),MATCH($Q63,'Control - Alt'!$C$32:$O$32,0)),
IFERROR(INDEX(Stockpile!$C$10:$M$26,MATCH(F$97,Stockpile!$B$10:$B$26,0),MATCH($Q63,Stockpile!$C$30:$M$30,0)),
IFERROR(INDEX('Asphalt Silo &amp; Unloading'!$D$10:$M$44,MATCH(F$97,'Asphalt Silo &amp; Unloading'!$B$10:$B$44,0),MATCH($Q63,'Asphalt Silo &amp; Unloading'!$D$49:$M$49,0)),""))))))</f>
        <v/>
      </c>
      <c r="G63" s="590" t="str">
        <f>IFERROR(INDEX('Material Handling'!$C$10:$AH$33,MATCH(G$97,Material_Handling[Data],0),MATCH($Q63,'Material Handling'!$C$40:$AH$40,0)), IFERROR(INDEX('Drop Point'!$B$13:$M$36,MATCH(G$97,'Drop Point'!$B$13:$B$37,0),MATCH($Q63,'Drop Point'!$B$41:$M$41,0)),
IFERROR(INDEX('Control - Grain dscf'!$C$11:$N$27,MATCH(G$97,'Control - Grain dscf'!$B$11:$B$27,0),MATCH($Q63,'Control - Grain dscf'!$C$32:$N$32,0)),
IFERROR(INDEX('Control - Alt'!$C$9:$O$27,MATCH(G$97,'Control - Alt'!$B$9:$B$27,0),MATCH($Q63,'Control - Alt'!$C$32:$O$32,0)),
IFERROR(INDEX(Stockpile!$C$10:$M$26,MATCH(G$97,Stockpile!$B$10:$B$26,0),MATCH($Q63,Stockpile!$C$30:$M$30,0)),
IFERROR(INDEX('Asphalt Silo &amp; Unloading'!$D$10:$M$44,MATCH(G$97,'Asphalt Silo &amp; Unloading'!$B$10:$B$44,0),MATCH($Q63,'Asphalt Silo &amp; Unloading'!$D$49:$M$49,0)),""))))))</f>
        <v/>
      </c>
      <c r="H63" s="590" t="str">
        <f>IFERROR(INDEX('Material Handling'!$C$10:$AH$33,MATCH(H$97,Material_Handling[Data],0),MATCH($Q63,'Material Handling'!$C$40:$AH$40,0)), IFERROR(INDEX('Drop Point'!$B$13:$M$36,MATCH(H$97,'Drop Point'!$B$13:$B$37,0),MATCH($Q63,'Drop Point'!$B$41:$M$41,0)),
IFERROR(INDEX('Control - Grain dscf'!$C$11:$N$27,MATCH(H$97,'Control - Grain dscf'!$B$11:$B$27,0),MATCH($Q63,'Control - Grain dscf'!$C$32:$N$32,0)),
IFERROR(INDEX('Control - Alt'!$C$9:$O$27,MATCH(H$97,'Control - Alt'!$B$9:$B$27,0),MATCH($Q63,'Control - Alt'!$C$32:$O$32,0)),
IFERROR(INDEX(Stockpile!$C$10:$M$26,MATCH(H$97,Stockpile!$B$10:$B$26,0),MATCH($Q63,Stockpile!$C$30:$M$30,0)),
IFERROR(INDEX('Asphalt Silo &amp; Unloading'!$D$10:$M$44,MATCH(H$97,'Asphalt Silo &amp; Unloading'!$B$10:$B$44,0),MATCH($Q63,'Asphalt Silo &amp; Unloading'!$D$49:$M$49,0)),""))))))</f>
        <v/>
      </c>
      <c r="I63" s="590" t="str">
        <f>IFERROR(INDEX('Material Handling'!$C$10:$AH$33,MATCH(I$97,Material_Handling[Data],0),MATCH($Q63,'Material Handling'!$C$40:$AH$40,0)), IFERROR(INDEX('Drop Point'!$B$13:$M$36,MATCH(I$97,'Drop Point'!$B$13:$B$37,0),MATCH($Q63,'Drop Point'!$B$41:$M$41,0)),
IFERROR(INDEX('Control - Grain dscf'!$C$11:$N$27,MATCH(I$97,'Control - Grain dscf'!$B$11:$B$27,0),MATCH($Q63,'Control - Grain dscf'!$C$32:$N$32,0)),
IFERROR(INDEX('Control - Alt'!$C$9:$O$27,MATCH(I$97,'Control - Alt'!$B$9:$B$27,0),MATCH($Q63,'Control - Alt'!$C$32:$O$32,0)),
IFERROR(INDEX(Stockpile!$C$10:$M$26,MATCH(I$97,Stockpile!$B$10:$B$26,0),MATCH($Q63,Stockpile!$C$30:$M$30,0)),
IFERROR(INDEX('Asphalt Silo &amp; Unloading'!$D$10:$M$44,MATCH(I$97,'Asphalt Silo &amp; Unloading'!$B$10:$B$44,0),MATCH($Q63,'Asphalt Silo &amp; Unloading'!$D$49:$M$49,0)),""))))))</f>
        <v/>
      </c>
      <c r="J63" s="590" t="str">
        <f>IFERROR(INDEX('Material Handling'!$C$10:$AH$33,MATCH(J$97,Material_Handling[Data],0),MATCH($Q63,'Material Handling'!$C$40:$AH$40,0)), IFERROR(INDEX('Drop Point'!$B$13:$M$36,MATCH(J$97,'Drop Point'!$B$13:$B$37,0),MATCH($Q63,'Drop Point'!$B$41:$M$41,0)),
IFERROR(INDEX('Control - Grain dscf'!$C$11:$N$27,MATCH(J$97,'Control - Grain dscf'!$B$11:$B$27,0),MATCH($Q63,'Control - Grain dscf'!$C$32:$N$32,0)),
IFERROR(INDEX('Control - Alt'!$C$9:$O$27,MATCH(J$97,'Control - Alt'!$B$9:$B$27,0),MATCH($Q63,'Control - Alt'!$C$32:$O$32,0)),
IFERROR(INDEX(Stockpile!$C$10:$M$26,MATCH(J$97,Stockpile!$B$10:$B$26,0),MATCH($Q63,Stockpile!$C$30:$M$30,0)),
IFERROR(INDEX('Asphalt Silo &amp; Unloading'!$D$10:$M$44,MATCH(J$97,'Asphalt Silo &amp; Unloading'!$B$10:$B$44,0),MATCH($Q63,'Asphalt Silo &amp; Unloading'!$D$49:$M$49,0)),""))))))</f>
        <v/>
      </c>
      <c r="K63" s="590" t="str">
        <f>IFERROR(INDEX('Material Handling'!$C$10:$AH$33,MATCH(K$97,Material_Handling[Data],0),MATCH($Q63,'Material Handling'!$C$40:$AH$40,0)), IFERROR(INDEX('Drop Point'!$B$13:$M$36,MATCH(K$97,'Drop Point'!$B$13:$B$37,0),MATCH($Q63,'Drop Point'!$B$41:$M$41,0)),
IFERROR(INDEX('Control - Grain dscf'!$C$11:$N$27,MATCH(K$97,'Control - Grain dscf'!$B$11:$B$27,0),MATCH($Q63,'Control - Grain dscf'!$C$32:$N$32,0)),
IFERROR(INDEX('Control - Alt'!$C$9:$O$27,MATCH(K$97,'Control - Alt'!$B$9:$B$27,0),MATCH($Q63,'Control - Alt'!$C$32:$O$32,0)),
IFERROR(INDEX(Stockpile!$C$10:$M$26,MATCH(K$97,Stockpile!$B$10:$B$26,0),MATCH($Q63,Stockpile!$C$30:$M$30,0)),
IFERROR(INDEX('Asphalt Silo &amp; Unloading'!$D$10:$M$44,MATCH(K$97,'Asphalt Silo &amp; Unloading'!$B$10:$B$44,0),MATCH($Q63,'Asphalt Silo &amp; Unloading'!$D$49:$M$49,0)),""))))))</f>
        <v/>
      </c>
      <c r="L63" s="590" t="str">
        <f>IFERROR(INDEX('Material Handling'!$C$10:$AH$33,MATCH(L$97,Material_Handling[Data],0),MATCH($Q63,'Material Handling'!$C$40:$AH$40,0)), IFERROR(INDEX('Drop Point'!$B$13:$M$36,MATCH(L$97,'Drop Point'!$B$13:$B$37,0),MATCH($Q63,'Drop Point'!$B$41:$M$41,0)),
IFERROR(INDEX('Control - Grain dscf'!$C$11:$N$27,MATCH(L$97,'Control - Grain dscf'!$B$11:$B$27,0),MATCH($Q63,'Control - Grain dscf'!$C$32:$N$32,0)),
IFERROR(INDEX('Control - Alt'!$C$9:$O$27,MATCH(L$97,'Control - Alt'!$B$9:$B$27,0),MATCH($Q63,'Control - Alt'!$C$32:$O$32,0)),
IFERROR(INDEX(Stockpile!$C$10:$M$26,MATCH(L$97,Stockpile!$B$10:$B$26,0),MATCH($Q63,Stockpile!$C$30:$M$30,0)),
IFERROR(INDEX('Asphalt Silo &amp; Unloading'!$D$10:$M$44,MATCH(L$97,'Asphalt Silo &amp; Unloading'!$B$10:$B$44,0),MATCH($Q63,'Asphalt Silo &amp; Unloading'!$D$49:$M$49,0)),""))))))</f>
        <v/>
      </c>
      <c r="M63" s="590" t="str">
        <f>IFERROR(INDEX('Material Handling'!$C$10:$AH$33,MATCH(M$97,Material_Handling[Data],0),MATCH($Q63,'Material Handling'!$C$40:$AH$40,0)), IFERROR(INDEX('Drop Point'!$B$13:$M$36,MATCH(M$97,'Drop Point'!$B$13:$B$37,0),MATCH($Q63,'Drop Point'!$B$41:$M$41,0)),
IFERROR(INDEX('Control - Grain dscf'!$C$11:$N$27,MATCH(M$97,'Control - Grain dscf'!$B$11:$B$27,0),MATCH($Q63,'Control - Grain dscf'!$C$32:$N$32,0)),
IFERROR(INDEX('Control - Alt'!$C$9:$O$27,MATCH(M$97,'Control - Alt'!$B$9:$B$27,0),MATCH($Q63,'Control - Alt'!$C$32:$O$32,0)),
IFERROR(INDEX(Stockpile!$C$10:$M$26,MATCH(M$97,Stockpile!$B$10:$B$26,0),MATCH($Q63,Stockpile!$C$30:$M$30,0)),
IFERROR(INDEX('Asphalt Silo &amp; Unloading'!$D$10:$M$44,MATCH(M$97,'Asphalt Silo &amp; Unloading'!$B$10:$B$44,0),MATCH($Q63,'Asphalt Silo &amp; Unloading'!$D$49:$M$49,0)),""))))))</f>
        <v/>
      </c>
      <c r="N63" s="590" t="str">
        <f>IFERROR(INDEX('Material Handling'!$C$10:$AH$33,MATCH(N$97,Material_Handling[Data],0),MATCH($Q63,'Material Handling'!$C$40:$AH$40,0)), IFERROR(INDEX('Drop Point'!$B$13:$M$36,MATCH(N$97,'Drop Point'!$B$13:$B$37,0),MATCH($Q63,'Drop Point'!$B$41:$M$41,0)),
IFERROR(INDEX('Control - Grain dscf'!$C$11:$N$27,MATCH(N$97,'Control - Grain dscf'!$B$11:$B$27,0),MATCH($Q63,'Control - Grain dscf'!$C$32:$N$32,0)),
IFERROR(INDEX('Control - Alt'!$C$9:$O$27,MATCH(N$97,'Control - Alt'!$B$9:$B$27,0),MATCH($Q63,'Control - Alt'!$C$32:$O$32,0)),
IFERROR(INDEX(Stockpile!$C$10:$M$26,MATCH(N$97,Stockpile!$B$10:$B$26,0),MATCH($Q63,Stockpile!$C$30:$M$30,0)),
IFERROR(INDEX('Asphalt Silo &amp; Unloading'!$D$10:$M$44,MATCH(N$97,'Asphalt Silo &amp; Unloading'!$B$10:$B$44,0),MATCH($Q63,'Asphalt Silo &amp; Unloading'!$D$49:$M$49,0)),""))))))</f>
        <v/>
      </c>
      <c r="O63" s="591" t="str">
        <f>IFERROR(INDEX('Material Handling'!$C$10:$AH$33,MATCH(O$97,Material_Handling[Data],0),MATCH($Q63,'Material Handling'!$C$40:$AH$40,0)), IFERROR(INDEX('Drop Point'!$B$13:$M$36,MATCH(O$97,'Drop Point'!$B$13:$B$37,0),MATCH($Q63,'Drop Point'!$B$41:$M$41,0)),
IFERROR(INDEX('Control - Grain dscf'!$C$11:$N$27,MATCH(O$97,'Control - Grain dscf'!$B$11:$B$27,0),MATCH($Q63,'Control - Grain dscf'!$C$32:$N$32,0)),
IFERROR(INDEX('Control - Alt'!$C$9:$O$27,MATCH(O$97,'Control - Alt'!$B$9:$B$27,0),MATCH($Q63,'Control - Alt'!$C$32:$O$32,0)),
IFERROR(INDEX(Stockpile!$C$10:$M$26,MATCH(O$97,Stockpile!$B$10:$B$26,0),MATCH($Q63,Stockpile!$C$30:$M$30,0)),
IFERROR(INDEX('Asphalt Silo &amp; Unloading'!$D$10:$M$44,MATCH(O$97,'Asphalt Silo &amp; Unloading'!$B$10:$B$44,0),MATCH($Q63,'Asphalt Silo &amp; Unloading'!$D$49:$M$49,0)),""))))))</f>
        <v/>
      </c>
      <c r="Q63" s="131">
        <f t="shared" si="1"/>
        <v>55</v>
      </c>
    </row>
    <row r="64" spans="1:17" ht="20.100000000000001" customHeight="1">
      <c r="A64" s="293" t="str">
        <f>IFERROR(INDEX('Material Handling'!$C$10:$AH$33,MATCH(A$97,Material_Handling[Data],0),MATCH($Q64,'Material Handling'!$C$40:$AH$40,0)), IFERROR(INDEX('Drop Point'!$B$13:$M$36,MATCH(A$97,'Drop Point'!$B$13:$B$37,0),MATCH($Q64,'Drop Point'!$B$41:$M$41,0)),
IFERROR(INDEX('Control - Grain dscf'!$C$11:$N$27,MATCH(A$97,'Control - Grain dscf'!$B$11:$B$27,0),MATCH($Q64,'Control - Grain dscf'!$C$32:$N$32,0)),
IFERROR(INDEX('Control - Alt'!$C$9:$O$27,MATCH(A$97,'Control - Alt'!$B$9:$B$27,0),MATCH($Q64,'Control - Alt'!$C$32:$O$32,0)),
IFERROR(INDEX(Stockpile!$C$10:$M$26,MATCH(A$97,Stockpile!$B$10:$B$26,0),MATCH($Q64,Stockpile!$C$30:$M$30,0)),
IFERROR(INDEX('Asphalt Silo &amp; Unloading'!$D$10:$M$44,MATCH(A$97,'Asphalt Silo &amp; Unloading'!$B$10:$B$44,0),MATCH($Q64,'Asphalt Silo &amp; Unloading'!$D$49:$M$49,0)),""))))))</f>
        <v/>
      </c>
      <c r="B64" s="135" t="str">
        <f>IFERROR(INDEX('Material Handling'!$C$10:$AH$33,MATCH(B$97,Material_Handling[Data],0),MATCH($Q64,'Material Handling'!$C$40:$AH$40,0)), IFERROR(INDEX('Drop Point'!$B$13:$M$36,MATCH(B$97,'Drop Point'!$B$13:$B$37,0),MATCH($Q64,'Drop Point'!$B$41:$M$41,0)),
IFERROR(INDEX('Control - Grain dscf'!$C$11:$N$27,MATCH(B$97,'Control - Grain dscf'!$B$11:$B$27,0),MATCH($Q64,'Control - Grain dscf'!$C$32:$N$32,0)),
IFERROR(INDEX('Control - Alt'!$C$9:$O$27,MATCH(B$97,'Control - Alt'!$B$9:$B$27,0),MATCH($Q64,'Control - Alt'!$C$32:$O$32,0)),
IFERROR(INDEX(Stockpile!$C$10:$M$26,MATCH(B$97,Stockpile!$B$10:$B$26,0),MATCH($Q64,Stockpile!$C$30:$M$30,0)),
IFERROR(INDEX('Asphalt Silo &amp; Unloading'!$D$10:$M$44,MATCH(B$97,'Asphalt Silo &amp; Unloading'!$B$10:$B$44,0),MATCH($Q64,'Asphalt Silo &amp; Unloading'!$D$49:$M$49,0)),""))))))</f>
        <v/>
      </c>
      <c r="C64" s="135" t="str">
        <f>IFERROR(INDEX('Material Handling'!$C$10:$AH$33,MATCH(C$97,Material_Handling[Data],0),MATCH($Q64,'Material Handling'!$C$40:$AH$40,0)), IFERROR(INDEX('Drop Point'!$B$13:$M$36,MATCH(C$97,'Drop Point'!$B$13:$B$37,0),MATCH($Q64,'Drop Point'!$B$41:$M$41,0)),
IFERROR(INDEX('Control - Grain dscf'!$C$11:$N$27,MATCH(C$97,'Control - Grain dscf'!$B$11:$B$27,0),MATCH($Q64,'Control - Grain dscf'!$C$32:$N$32,0)),
IFERROR(INDEX('Control - Alt'!$C$9:$O$27,MATCH(C$97,'Control - Alt'!$B$9:$B$27,0),MATCH($Q64,'Control - Alt'!$C$32:$O$32,0)),
IFERROR(INDEX(Stockpile!$C$10:$M$26,MATCH(C$97,Stockpile!$B$10:$B$26,0),MATCH($Q64,Stockpile!$C$30:$M$30,0)),
IFERROR(INDEX('Asphalt Silo &amp; Unloading'!$D$10:$M$44,MATCH(C$97,'Asphalt Silo &amp; Unloading'!$B$10:$B$44,0),MATCH($Q64,'Asphalt Silo &amp; Unloading'!$D$49:$M$49,0)),""))))))</f>
        <v/>
      </c>
      <c r="D64" s="135" t="str">
        <f>IFERROR(INDEX('Material Handling'!$C$10:$AH$33,MATCH(D$97,Material_Handling[Data],0),MATCH($Q64,'Material Handling'!$C$40:$AH$40,0)), IFERROR(INDEX('Drop Point'!$B$13:$M$36,MATCH(D$97,'Drop Point'!$B$13:$B$37,0),MATCH($Q64,'Drop Point'!$B$41:$M$41,0)),
IFERROR(INDEX('Control - Grain dscf'!$C$11:$N$27,MATCH(D$97,'Control - Grain dscf'!$B$11:$B$27,0),MATCH($Q64,'Control - Grain dscf'!$C$32:$N$32,0)),
IFERROR(INDEX('Control - Alt'!$C$9:$O$27,MATCH(D$97,'Control - Alt'!$B$9:$B$27,0),MATCH($Q64,'Control - Alt'!$C$32:$O$32,0)),
IFERROR(INDEX(Stockpile!$C$10:$M$26,MATCH(D$97,Stockpile!$B$10:$B$26,0),MATCH($Q64,Stockpile!$C$30:$M$30,0)),
IFERROR(INDEX('Asphalt Silo &amp; Unloading'!$D$10:$M$44,MATCH(D$97,'Asphalt Silo &amp; Unloading'!$B$10:$B$44,0),MATCH($Q64,'Asphalt Silo &amp; Unloading'!$D$49:$M$49,0)),""))))))</f>
        <v/>
      </c>
      <c r="E64" s="620" t="str">
        <f>IFERROR(INDEX('Material Handling'!$C$10:$AH$33,MATCH(E$97,Material_Handling[Data],0),MATCH($Q64,'Material Handling'!$C$40:$AH$40,0)), IFERROR(INDEX('Drop Point'!$B$13:$M$36,MATCH(E$97,'Drop Point'!$B$13:$B$37,0),MATCH($Q64,'Drop Point'!$B$41:$M$41,0)),
IFERROR(INDEX('Control - Grain dscf'!$C$11:$N$27,MATCH(E$97,'Control - Grain dscf'!$B$11:$B$27,0),MATCH($Q64,'Control - Grain dscf'!$C$32:$N$32,0)),
IFERROR(INDEX('Control - Alt'!$C$9:$O$27,MATCH(E$97,'Control - Alt'!$B$9:$B$27,0),MATCH($Q64,'Control - Alt'!$C$32:$O$32,0)),
IFERROR(INDEX(Stockpile!$C$10:$M$26,MATCH(E$97,Stockpile!$B$10:$B$26,0),MATCH($Q64,Stockpile!$C$30:$M$30,0)),
IFERROR(INDEX('Asphalt Silo &amp; Unloading'!$D$10:$M$44,MATCH(E$97,'Asphalt Silo &amp; Unloading'!$B$10:$B$44,0),MATCH($Q64,'Asphalt Silo &amp; Unloading'!$D$49:$M$49,0)),""))))))</f>
        <v/>
      </c>
      <c r="F64" s="590" t="str">
        <f>IFERROR(INDEX('Material Handling'!$C$10:$AH$33,MATCH(F$97,Material_Handling[Data],0),MATCH($Q64,'Material Handling'!$C$40:$AH$40,0)), IFERROR(INDEX('Drop Point'!$B$13:$M$36,MATCH(F$97,'Drop Point'!$B$13:$B$37,0),MATCH($Q64,'Drop Point'!$B$41:$M$41,0)),
IFERROR(INDEX('Control - Grain dscf'!$C$11:$N$27,MATCH(F$97,'Control - Grain dscf'!$B$11:$B$27,0),MATCH($Q64,'Control - Grain dscf'!$C$32:$N$32,0)),
IFERROR(INDEX('Control - Alt'!$C$9:$O$27,MATCH(F$97,'Control - Alt'!$B$9:$B$27,0),MATCH($Q64,'Control - Alt'!$C$32:$O$32,0)),
IFERROR(INDEX(Stockpile!$C$10:$M$26,MATCH(F$97,Stockpile!$B$10:$B$26,0),MATCH($Q64,Stockpile!$C$30:$M$30,0)),
IFERROR(INDEX('Asphalt Silo &amp; Unloading'!$D$10:$M$44,MATCH(F$97,'Asphalt Silo &amp; Unloading'!$B$10:$B$44,0),MATCH($Q64,'Asphalt Silo &amp; Unloading'!$D$49:$M$49,0)),""))))))</f>
        <v/>
      </c>
      <c r="G64" s="590" t="str">
        <f>IFERROR(INDEX('Material Handling'!$C$10:$AH$33,MATCH(G$97,Material_Handling[Data],0),MATCH($Q64,'Material Handling'!$C$40:$AH$40,0)), IFERROR(INDEX('Drop Point'!$B$13:$M$36,MATCH(G$97,'Drop Point'!$B$13:$B$37,0),MATCH($Q64,'Drop Point'!$B$41:$M$41,0)),
IFERROR(INDEX('Control - Grain dscf'!$C$11:$N$27,MATCH(G$97,'Control - Grain dscf'!$B$11:$B$27,0),MATCH($Q64,'Control - Grain dscf'!$C$32:$N$32,0)),
IFERROR(INDEX('Control - Alt'!$C$9:$O$27,MATCH(G$97,'Control - Alt'!$B$9:$B$27,0),MATCH($Q64,'Control - Alt'!$C$32:$O$32,0)),
IFERROR(INDEX(Stockpile!$C$10:$M$26,MATCH(G$97,Stockpile!$B$10:$B$26,0),MATCH($Q64,Stockpile!$C$30:$M$30,0)),
IFERROR(INDEX('Asphalt Silo &amp; Unloading'!$D$10:$M$44,MATCH(G$97,'Asphalt Silo &amp; Unloading'!$B$10:$B$44,0),MATCH($Q64,'Asphalt Silo &amp; Unloading'!$D$49:$M$49,0)),""))))))</f>
        <v/>
      </c>
      <c r="H64" s="590" t="str">
        <f>IFERROR(INDEX('Material Handling'!$C$10:$AH$33,MATCH(H$97,Material_Handling[Data],0),MATCH($Q64,'Material Handling'!$C$40:$AH$40,0)), IFERROR(INDEX('Drop Point'!$B$13:$M$36,MATCH(H$97,'Drop Point'!$B$13:$B$37,0),MATCH($Q64,'Drop Point'!$B$41:$M$41,0)),
IFERROR(INDEX('Control - Grain dscf'!$C$11:$N$27,MATCH(H$97,'Control - Grain dscf'!$B$11:$B$27,0),MATCH($Q64,'Control - Grain dscf'!$C$32:$N$32,0)),
IFERROR(INDEX('Control - Alt'!$C$9:$O$27,MATCH(H$97,'Control - Alt'!$B$9:$B$27,0),MATCH($Q64,'Control - Alt'!$C$32:$O$32,0)),
IFERROR(INDEX(Stockpile!$C$10:$M$26,MATCH(H$97,Stockpile!$B$10:$B$26,0),MATCH($Q64,Stockpile!$C$30:$M$30,0)),
IFERROR(INDEX('Asphalt Silo &amp; Unloading'!$D$10:$M$44,MATCH(H$97,'Asphalt Silo &amp; Unloading'!$B$10:$B$44,0),MATCH($Q64,'Asphalt Silo &amp; Unloading'!$D$49:$M$49,0)),""))))))</f>
        <v/>
      </c>
      <c r="I64" s="590" t="str">
        <f>IFERROR(INDEX('Material Handling'!$C$10:$AH$33,MATCH(I$97,Material_Handling[Data],0),MATCH($Q64,'Material Handling'!$C$40:$AH$40,0)), IFERROR(INDEX('Drop Point'!$B$13:$M$36,MATCH(I$97,'Drop Point'!$B$13:$B$37,0),MATCH($Q64,'Drop Point'!$B$41:$M$41,0)),
IFERROR(INDEX('Control - Grain dscf'!$C$11:$N$27,MATCH(I$97,'Control - Grain dscf'!$B$11:$B$27,0),MATCH($Q64,'Control - Grain dscf'!$C$32:$N$32,0)),
IFERROR(INDEX('Control - Alt'!$C$9:$O$27,MATCH(I$97,'Control - Alt'!$B$9:$B$27,0),MATCH($Q64,'Control - Alt'!$C$32:$O$32,0)),
IFERROR(INDEX(Stockpile!$C$10:$M$26,MATCH(I$97,Stockpile!$B$10:$B$26,0),MATCH($Q64,Stockpile!$C$30:$M$30,0)),
IFERROR(INDEX('Asphalt Silo &amp; Unloading'!$D$10:$M$44,MATCH(I$97,'Asphalt Silo &amp; Unloading'!$B$10:$B$44,0),MATCH($Q64,'Asphalt Silo &amp; Unloading'!$D$49:$M$49,0)),""))))))</f>
        <v/>
      </c>
      <c r="J64" s="590" t="str">
        <f>IFERROR(INDEX('Material Handling'!$C$10:$AH$33,MATCH(J$97,Material_Handling[Data],0),MATCH($Q64,'Material Handling'!$C$40:$AH$40,0)), IFERROR(INDEX('Drop Point'!$B$13:$M$36,MATCH(J$97,'Drop Point'!$B$13:$B$37,0),MATCH($Q64,'Drop Point'!$B$41:$M$41,0)),
IFERROR(INDEX('Control - Grain dscf'!$C$11:$N$27,MATCH(J$97,'Control - Grain dscf'!$B$11:$B$27,0),MATCH($Q64,'Control - Grain dscf'!$C$32:$N$32,0)),
IFERROR(INDEX('Control - Alt'!$C$9:$O$27,MATCH(J$97,'Control - Alt'!$B$9:$B$27,0),MATCH($Q64,'Control - Alt'!$C$32:$O$32,0)),
IFERROR(INDEX(Stockpile!$C$10:$M$26,MATCH(J$97,Stockpile!$B$10:$B$26,0),MATCH($Q64,Stockpile!$C$30:$M$30,0)),
IFERROR(INDEX('Asphalt Silo &amp; Unloading'!$D$10:$M$44,MATCH(J$97,'Asphalt Silo &amp; Unloading'!$B$10:$B$44,0),MATCH($Q64,'Asphalt Silo &amp; Unloading'!$D$49:$M$49,0)),""))))))</f>
        <v/>
      </c>
      <c r="K64" s="590" t="str">
        <f>IFERROR(INDEX('Material Handling'!$C$10:$AH$33,MATCH(K$97,Material_Handling[Data],0),MATCH($Q64,'Material Handling'!$C$40:$AH$40,0)), IFERROR(INDEX('Drop Point'!$B$13:$M$36,MATCH(K$97,'Drop Point'!$B$13:$B$37,0),MATCH($Q64,'Drop Point'!$B$41:$M$41,0)),
IFERROR(INDEX('Control - Grain dscf'!$C$11:$N$27,MATCH(K$97,'Control - Grain dscf'!$B$11:$B$27,0),MATCH($Q64,'Control - Grain dscf'!$C$32:$N$32,0)),
IFERROR(INDEX('Control - Alt'!$C$9:$O$27,MATCH(K$97,'Control - Alt'!$B$9:$B$27,0),MATCH($Q64,'Control - Alt'!$C$32:$O$32,0)),
IFERROR(INDEX(Stockpile!$C$10:$M$26,MATCH(K$97,Stockpile!$B$10:$B$26,0),MATCH($Q64,Stockpile!$C$30:$M$30,0)),
IFERROR(INDEX('Asphalt Silo &amp; Unloading'!$D$10:$M$44,MATCH(K$97,'Asphalt Silo &amp; Unloading'!$B$10:$B$44,0),MATCH($Q64,'Asphalt Silo &amp; Unloading'!$D$49:$M$49,0)),""))))))</f>
        <v/>
      </c>
      <c r="L64" s="590" t="str">
        <f>IFERROR(INDEX('Material Handling'!$C$10:$AH$33,MATCH(L$97,Material_Handling[Data],0),MATCH($Q64,'Material Handling'!$C$40:$AH$40,0)), IFERROR(INDEX('Drop Point'!$B$13:$M$36,MATCH(L$97,'Drop Point'!$B$13:$B$37,0),MATCH($Q64,'Drop Point'!$B$41:$M$41,0)),
IFERROR(INDEX('Control - Grain dscf'!$C$11:$N$27,MATCH(L$97,'Control - Grain dscf'!$B$11:$B$27,0),MATCH($Q64,'Control - Grain dscf'!$C$32:$N$32,0)),
IFERROR(INDEX('Control - Alt'!$C$9:$O$27,MATCH(L$97,'Control - Alt'!$B$9:$B$27,0),MATCH($Q64,'Control - Alt'!$C$32:$O$32,0)),
IFERROR(INDEX(Stockpile!$C$10:$M$26,MATCH(L$97,Stockpile!$B$10:$B$26,0),MATCH($Q64,Stockpile!$C$30:$M$30,0)),
IFERROR(INDEX('Asphalt Silo &amp; Unloading'!$D$10:$M$44,MATCH(L$97,'Asphalt Silo &amp; Unloading'!$B$10:$B$44,0),MATCH($Q64,'Asphalt Silo &amp; Unloading'!$D$49:$M$49,0)),""))))))</f>
        <v/>
      </c>
      <c r="M64" s="590" t="str">
        <f>IFERROR(INDEX('Material Handling'!$C$10:$AH$33,MATCH(M$97,Material_Handling[Data],0),MATCH($Q64,'Material Handling'!$C$40:$AH$40,0)), IFERROR(INDEX('Drop Point'!$B$13:$M$36,MATCH(M$97,'Drop Point'!$B$13:$B$37,0),MATCH($Q64,'Drop Point'!$B$41:$M$41,0)),
IFERROR(INDEX('Control - Grain dscf'!$C$11:$N$27,MATCH(M$97,'Control - Grain dscf'!$B$11:$B$27,0),MATCH($Q64,'Control - Grain dscf'!$C$32:$N$32,0)),
IFERROR(INDEX('Control - Alt'!$C$9:$O$27,MATCH(M$97,'Control - Alt'!$B$9:$B$27,0),MATCH($Q64,'Control - Alt'!$C$32:$O$32,0)),
IFERROR(INDEX(Stockpile!$C$10:$M$26,MATCH(M$97,Stockpile!$B$10:$B$26,0),MATCH($Q64,Stockpile!$C$30:$M$30,0)),
IFERROR(INDEX('Asphalt Silo &amp; Unloading'!$D$10:$M$44,MATCH(M$97,'Asphalt Silo &amp; Unloading'!$B$10:$B$44,0),MATCH($Q64,'Asphalt Silo &amp; Unloading'!$D$49:$M$49,0)),""))))))</f>
        <v/>
      </c>
      <c r="N64" s="590" t="str">
        <f>IFERROR(INDEX('Material Handling'!$C$10:$AH$33,MATCH(N$97,Material_Handling[Data],0),MATCH($Q64,'Material Handling'!$C$40:$AH$40,0)), IFERROR(INDEX('Drop Point'!$B$13:$M$36,MATCH(N$97,'Drop Point'!$B$13:$B$37,0),MATCH($Q64,'Drop Point'!$B$41:$M$41,0)),
IFERROR(INDEX('Control - Grain dscf'!$C$11:$N$27,MATCH(N$97,'Control - Grain dscf'!$B$11:$B$27,0),MATCH($Q64,'Control - Grain dscf'!$C$32:$N$32,0)),
IFERROR(INDEX('Control - Alt'!$C$9:$O$27,MATCH(N$97,'Control - Alt'!$B$9:$B$27,0),MATCH($Q64,'Control - Alt'!$C$32:$O$32,0)),
IFERROR(INDEX(Stockpile!$C$10:$M$26,MATCH(N$97,Stockpile!$B$10:$B$26,0),MATCH($Q64,Stockpile!$C$30:$M$30,0)),
IFERROR(INDEX('Asphalt Silo &amp; Unloading'!$D$10:$M$44,MATCH(N$97,'Asphalt Silo &amp; Unloading'!$B$10:$B$44,0),MATCH($Q64,'Asphalt Silo &amp; Unloading'!$D$49:$M$49,0)),""))))))</f>
        <v/>
      </c>
      <c r="O64" s="591" t="str">
        <f>IFERROR(INDEX('Material Handling'!$C$10:$AH$33,MATCH(O$97,Material_Handling[Data],0),MATCH($Q64,'Material Handling'!$C$40:$AH$40,0)), IFERROR(INDEX('Drop Point'!$B$13:$M$36,MATCH(O$97,'Drop Point'!$B$13:$B$37,0),MATCH($Q64,'Drop Point'!$B$41:$M$41,0)),
IFERROR(INDEX('Control - Grain dscf'!$C$11:$N$27,MATCH(O$97,'Control - Grain dscf'!$B$11:$B$27,0),MATCH($Q64,'Control - Grain dscf'!$C$32:$N$32,0)),
IFERROR(INDEX('Control - Alt'!$C$9:$O$27,MATCH(O$97,'Control - Alt'!$B$9:$B$27,0),MATCH($Q64,'Control - Alt'!$C$32:$O$32,0)),
IFERROR(INDEX(Stockpile!$C$10:$M$26,MATCH(O$97,Stockpile!$B$10:$B$26,0),MATCH($Q64,Stockpile!$C$30:$M$30,0)),
IFERROR(INDEX('Asphalt Silo &amp; Unloading'!$D$10:$M$44,MATCH(O$97,'Asphalt Silo &amp; Unloading'!$B$10:$B$44,0),MATCH($Q64,'Asphalt Silo &amp; Unloading'!$D$49:$M$49,0)),""))))))</f>
        <v/>
      </c>
      <c r="Q64" s="131">
        <f t="shared" si="1"/>
        <v>56</v>
      </c>
    </row>
    <row r="65" spans="1:17" ht="20.100000000000001" customHeight="1">
      <c r="A65" s="293" t="str">
        <f>IFERROR(INDEX('Material Handling'!$C$10:$AH$33,MATCH(A$97,Material_Handling[Data],0),MATCH($Q65,'Material Handling'!$C$40:$AH$40,0)), IFERROR(INDEX('Drop Point'!$B$13:$M$36,MATCH(A$97,'Drop Point'!$B$13:$B$37,0),MATCH($Q65,'Drop Point'!$B$41:$M$41,0)),
IFERROR(INDEX('Control - Grain dscf'!$C$11:$N$27,MATCH(A$97,'Control - Grain dscf'!$B$11:$B$27,0),MATCH($Q65,'Control - Grain dscf'!$C$32:$N$32,0)),
IFERROR(INDEX('Control - Alt'!$C$9:$O$27,MATCH(A$97,'Control - Alt'!$B$9:$B$27,0),MATCH($Q65,'Control - Alt'!$C$32:$O$32,0)),
IFERROR(INDEX(Stockpile!$C$10:$M$26,MATCH(A$97,Stockpile!$B$10:$B$26,0),MATCH($Q65,Stockpile!$C$30:$M$30,0)),
IFERROR(INDEX('Asphalt Silo &amp; Unloading'!$D$10:$M$44,MATCH(A$97,'Asphalt Silo &amp; Unloading'!$B$10:$B$44,0),MATCH($Q65,'Asphalt Silo &amp; Unloading'!$D$49:$M$49,0)),""))))))</f>
        <v/>
      </c>
      <c r="B65" s="135" t="str">
        <f>IFERROR(INDEX('Material Handling'!$C$10:$AH$33,MATCH(B$97,Material_Handling[Data],0),MATCH($Q65,'Material Handling'!$C$40:$AH$40,0)), IFERROR(INDEX('Drop Point'!$B$13:$M$36,MATCH(B$97,'Drop Point'!$B$13:$B$37,0),MATCH($Q65,'Drop Point'!$B$41:$M$41,0)),
IFERROR(INDEX('Control - Grain dscf'!$C$11:$N$27,MATCH(B$97,'Control - Grain dscf'!$B$11:$B$27,0),MATCH($Q65,'Control - Grain dscf'!$C$32:$N$32,0)),
IFERROR(INDEX('Control - Alt'!$C$9:$O$27,MATCH(B$97,'Control - Alt'!$B$9:$B$27,0),MATCH($Q65,'Control - Alt'!$C$32:$O$32,0)),
IFERROR(INDEX(Stockpile!$C$10:$M$26,MATCH(B$97,Stockpile!$B$10:$B$26,0),MATCH($Q65,Stockpile!$C$30:$M$30,0)),
IFERROR(INDEX('Asphalt Silo &amp; Unloading'!$D$10:$M$44,MATCH(B$97,'Asphalt Silo &amp; Unloading'!$B$10:$B$44,0),MATCH($Q65,'Asphalt Silo &amp; Unloading'!$D$49:$M$49,0)),""))))))</f>
        <v/>
      </c>
      <c r="C65" s="135" t="str">
        <f>IFERROR(INDEX('Material Handling'!$C$10:$AH$33,MATCH(C$97,Material_Handling[Data],0),MATCH($Q65,'Material Handling'!$C$40:$AH$40,0)), IFERROR(INDEX('Drop Point'!$B$13:$M$36,MATCH(C$97,'Drop Point'!$B$13:$B$37,0),MATCH($Q65,'Drop Point'!$B$41:$M$41,0)),
IFERROR(INDEX('Control - Grain dscf'!$C$11:$N$27,MATCH(C$97,'Control - Grain dscf'!$B$11:$B$27,0),MATCH($Q65,'Control - Grain dscf'!$C$32:$N$32,0)),
IFERROR(INDEX('Control - Alt'!$C$9:$O$27,MATCH(C$97,'Control - Alt'!$B$9:$B$27,0),MATCH($Q65,'Control - Alt'!$C$32:$O$32,0)),
IFERROR(INDEX(Stockpile!$C$10:$M$26,MATCH(C$97,Stockpile!$B$10:$B$26,0),MATCH($Q65,Stockpile!$C$30:$M$30,0)),
IFERROR(INDEX('Asphalt Silo &amp; Unloading'!$D$10:$M$44,MATCH(C$97,'Asphalt Silo &amp; Unloading'!$B$10:$B$44,0),MATCH($Q65,'Asphalt Silo &amp; Unloading'!$D$49:$M$49,0)),""))))))</f>
        <v/>
      </c>
      <c r="D65" s="135" t="str">
        <f>IFERROR(INDEX('Material Handling'!$C$10:$AH$33,MATCH(D$97,Material_Handling[Data],0),MATCH($Q65,'Material Handling'!$C$40:$AH$40,0)), IFERROR(INDEX('Drop Point'!$B$13:$M$36,MATCH(D$97,'Drop Point'!$B$13:$B$37,0),MATCH($Q65,'Drop Point'!$B$41:$M$41,0)),
IFERROR(INDEX('Control - Grain dscf'!$C$11:$N$27,MATCH(D$97,'Control - Grain dscf'!$B$11:$B$27,0),MATCH($Q65,'Control - Grain dscf'!$C$32:$N$32,0)),
IFERROR(INDEX('Control - Alt'!$C$9:$O$27,MATCH(D$97,'Control - Alt'!$B$9:$B$27,0),MATCH($Q65,'Control - Alt'!$C$32:$O$32,0)),
IFERROR(INDEX(Stockpile!$C$10:$M$26,MATCH(D$97,Stockpile!$B$10:$B$26,0),MATCH($Q65,Stockpile!$C$30:$M$30,0)),
IFERROR(INDEX('Asphalt Silo &amp; Unloading'!$D$10:$M$44,MATCH(D$97,'Asphalt Silo &amp; Unloading'!$B$10:$B$44,0),MATCH($Q65,'Asphalt Silo &amp; Unloading'!$D$49:$M$49,0)),""))))))</f>
        <v/>
      </c>
      <c r="E65" s="620" t="str">
        <f>IFERROR(INDEX('Material Handling'!$C$10:$AH$33,MATCH(E$97,Material_Handling[Data],0),MATCH($Q65,'Material Handling'!$C$40:$AH$40,0)), IFERROR(INDEX('Drop Point'!$B$13:$M$36,MATCH(E$97,'Drop Point'!$B$13:$B$37,0),MATCH($Q65,'Drop Point'!$B$41:$M$41,0)),
IFERROR(INDEX('Control - Grain dscf'!$C$11:$N$27,MATCH(E$97,'Control - Grain dscf'!$B$11:$B$27,0),MATCH($Q65,'Control - Grain dscf'!$C$32:$N$32,0)),
IFERROR(INDEX('Control - Alt'!$C$9:$O$27,MATCH(E$97,'Control - Alt'!$B$9:$B$27,0),MATCH($Q65,'Control - Alt'!$C$32:$O$32,0)),
IFERROR(INDEX(Stockpile!$C$10:$M$26,MATCH(E$97,Stockpile!$B$10:$B$26,0),MATCH($Q65,Stockpile!$C$30:$M$30,0)),
IFERROR(INDEX('Asphalt Silo &amp; Unloading'!$D$10:$M$44,MATCH(E$97,'Asphalt Silo &amp; Unloading'!$B$10:$B$44,0),MATCH($Q65,'Asphalt Silo &amp; Unloading'!$D$49:$M$49,0)),""))))))</f>
        <v/>
      </c>
      <c r="F65" s="590" t="str">
        <f>IFERROR(INDEX('Material Handling'!$C$10:$AH$33,MATCH(F$97,Material_Handling[Data],0),MATCH($Q65,'Material Handling'!$C$40:$AH$40,0)), IFERROR(INDEX('Drop Point'!$B$13:$M$36,MATCH(F$97,'Drop Point'!$B$13:$B$37,0),MATCH($Q65,'Drop Point'!$B$41:$M$41,0)),
IFERROR(INDEX('Control - Grain dscf'!$C$11:$N$27,MATCH(F$97,'Control - Grain dscf'!$B$11:$B$27,0),MATCH($Q65,'Control - Grain dscf'!$C$32:$N$32,0)),
IFERROR(INDEX('Control - Alt'!$C$9:$O$27,MATCH(F$97,'Control - Alt'!$B$9:$B$27,0),MATCH($Q65,'Control - Alt'!$C$32:$O$32,0)),
IFERROR(INDEX(Stockpile!$C$10:$M$26,MATCH(F$97,Stockpile!$B$10:$B$26,0),MATCH($Q65,Stockpile!$C$30:$M$30,0)),
IFERROR(INDEX('Asphalt Silo &amp; Unloading'!$D$10:$M$44,MATCH(F$97,'Asphalt Silo &amp; Unloading'!$B$10:$B$44,0),MATCH($Q65,'Asphalt Silo &amp; Unloading'!$D$49:$M$49,0)),""))))))</f>
        <v/>
      </c>
      <c r="G65" s="590" t="str">
        <f>IFERROR(INDEX('Material Handling'!$C$10:$AH$33,MATCH(G$97,Material_Handling[Data],0),MATCH($Q65,'Material Handling'!$C$40:$AH$40,0)), IFERROR(INDEX('Drop Point'!$B$13:$M$36,MATCH(G$97,'Drop Point'!$B$13:$B$37,0),MATCH($Q65,'Drop Point'!$B$41:$M$41,0)),
IFERROR(INDEX('Control - Grain dscf'!$C$11:$N$27,MATCH(G$97,'Control - Grain dscf'!$B$11:$B$27,0),MATCH($Q65,'Control - Grain dscf'!$C$32:$N$32,0)),
IFERROR(INDEX('Control - Alt'!$C$9:$O$27,MATCH(G$97,'Control - Alt'!$B$9:$B$27,0),MATCH($Q65,'Control - Alt'!$C$32:$O$32,0)),
IFERROR(INDEX(Stockpile!$C$10:$M$26,MATCH(G$97,Stockpile!$B$10:$B$26,0),MATCH($Q65,Stockpile!$C$30:$M$30,0)),
IFERROR(INDEX('Asphalt Silo &amp; Unloading'!$D$10:$M$44,MATCH(G$97,'Asphalt Silo &amp; Unloading'!$B$10:$B$44,0),MATCH($Q65,'Asphalt Silo &amp; Unloading'!$D$49:$M$49,0)),""))))))</f>
        <v/>
      </c>
      <c r="H65" s="590" t="str">
        <f>IFERROR(INDEX('Material Handling'!$C$10:$AH$33,MATCH(H$97,Material_Handling[Data],0),MATCH($Q65,'Material Handling'!$C$40:$AH$40,0)), IFERROR(INDEX('Drop Point'!$B$13:$M$36,MATCH(H$97,'Drop Point'!$B$13:$B$37,0),MATCH($Q65,'Drop Point'!$B$41:$M$41,0)),
IFERROR(INDEX('Control - Grain dscf'!$C$11:$N$27,MATCH(H$97,'Control - Grain dscf'!$B$11:$B$27,0),MATCH($Q65,'Control - Grain dscf'!$C$32:$N$32,0)),
IFERROR(INDEX('Control - Alt'!$C$9:$O$27,MATCH(H$97,'Control - Alt'!$B$9:$B$27,0),MATCH($Q65,'Control - Alt'!$C$32:$O$32,0)),
IFERROR(INDEX(Stockpile!$C$10:$M$26,MATCH(H$97,Stockpile!$B$10:$B$26,0),MATCH($Q65,Stockpile!$C$30:$M$30,0)),
IFERROR(INDEX('Asphalt Silo &amp; Unloading'!$D$10:$M$44,MATCH(H$97,'Asphalt Silo &amp; Unloading'!$B$10:$B$44,0),MATCH($Q65,'Asphalt Silo &amp; Unloading'!$D$49:$M$49,0)),""))))))</f>
        <v/>
      </c>
      <c r="I65" s="590" t="str">
        <f>IFERROR(INDEX('Material Handling'!$C$10:$AH$33,MATCH(I$97,Material_Handling[Data],0),MATCH($Q65,'Material Handling'!$C$40:$AH$40,0)), IFERROR(INDEX('Drop Point'!$B$13:$M$36,MATCH(I$97,'Drop Point'!$B$13:$B$37,0),MATCH($Q65,'Drop Point'!$B$41:$M$41,0)),
IFERROR(INDEX('Control - Grain dscf'!$C$11:$N$27,MATCH(I$97,'Control - Grain dscf'!$B$11:$B$27,0),MATCH($Q65,'Control - Grain dscf'!$C$32:$N$32,0)),
IFERROR(INDEX('Control - Alt'!$C$9:$O$27,MATCH(I$97,'Control - Alt'!$B$9:$B$27,0),MATCH($Q65,'Control - Alt'!$C$32:$O$32,0)),
IFERROR(INDEX(Stockpile!$C$10:$M$26,MATCH(I$97,Stockpile!$B$10:$B$26,0),MATCH($Q65,Stockpile!$C$30:$M$30,0)),
IFERROR(INDEX('Asphalt Silo &amp; Unloading'!$D$10:$M$44,MATCH(I$97,'Asphalt Silo &amp; Unloading'!$B$10:$B$44,0),MATCH($Q65,'Asphalt Silo &amp; Unloading'!$D$49:$M$49,0)),""))))))</f>
        <v/>
      </c>
      <c r="J65" s="590" t="str">
        <f>IFERROR(INDEX('Material Handling'!$C$10:$AH$33,MATCH(J$97,Material_Handling[Data],0),MATCH($Q65,'Material Handling'!$C$40:$AH$40,0)), IFERROR(INDEX('Drop Point'!$B$13:$M$36,MATCH(J$97,'Drop Point'!$B$13:$B$37,0),MATCH($Q65,'Drop Point'!$B$41:$M$41,0)),
IFERROR(INDEX('Control - Grain dscf'!$C$11:$N$27,MATCH(J$97,'Control - Grain dscf'!$B$11:$B$27,0),MATCH($Q65,'Control - Grain dscf'!$C$32:$N$32,0)),
IFERROR(INDEX('Control - Alt'!$C$9:$O$27,MATCH(J$97,'Control - Alt'!$B$9:$B$27,0),MATCH($Q65,'Control - Alt'!$C$32:$O$32,0)),
IFERROR(INDEX(Stockpile!$C$10:$M$26,MATCH(J$97,Stockpile!$B$10:$B$26,0),MATCH($Q65,Stockpile!$C$30:$M$30,0)),
IFERROR(INDEX('Asphalt Silo &amp; Unloading'!$D$10:$M$44,MATCH(J$97,'Asphalt Silo &amp; Unloading'!$B$10:$B$44,0),MATCH($Q65,'Asphalt Silo &amp; Unloading'!$D$49:$M$49,0)),""))))))</f>
        <v/>
      </c>
      <c r="K65" s="590" t="str">
        <f>IFERROR(INDEX('Material Handling'!$C$10:$AH$33,MATCH(K$97,Material_Handling[Data],0),MATCH($Q65,'Material Handling'!$C$40:$AH$40,0)), IFERROR(INDEX('Drop Point'!$B$13:$M$36,MATCH(K$97,'Drop Point'!$B$13:$B$37,0),MATCH($Q65,'Drop Point'!$B$41:$M$41,0)),
IFERROR(INDEX('Control - Grain dscf'!$C$11:$N$27,MATCH(K$97,'Control - Grain dscf'!$B$11:$B$27,0),MATCH($Q65,'Control - Grain dscf'!$C$32:$N$32,0)),
IFERROR(INDEX('Control - Alt'!$C$9:$O$27,MATCH(K$97,'Control - Alt'!$B$9:$B$27,0),MATCH($Q65,'Control - Alt'!$C$32:$O$32,0)),
IFERROR(INDEX(Stockpile!$C$10:$M$26,MATCH(K$97,Stockpile!$B$10:$B$26,0),MATCH($Q65,Stockpile!$C$30:$M$30,0)),
IFERROR(INDEX('Asphalt Silo &amp; Unloading'!$D$10:$M$44,MATCH(K$97,'Asphalt Silo &amp; Unloading'!$B$10:$B$44,0),MATCH($Q65,'Asphalt Silo &amp; Unloading'!$D$49:$M$49,0)),""))))))</f>
        <v/>
      </c>
      <c r="L65" s="590" t="str">
        <f>IFERROR(INDEX('Material Handling'!$C$10:$AH$33,MATCH(L$97,Material_Handling[Data],0),MATCH($Q65,'Material Handling'!$C$40:$AH$40,0)), IFERROR(INDEX('Drop Point'!$B$13:$M$36,MATCH(L$97,'Drop Point'!$B$13:$B$37,0),MATCH($Q65,'Drop Point'!$B$41:$M$41,0)),
IFERROR(INDEX('Control - Grain dscf'!$C$11:$N$27,MATCH(L$97,'Control - Grain dscf'!$B$11:$B$27,0),MATCH($Q65,'Control - Grain dscf'!$C$32:$N$32,0)),
IFERROR(INDEX('Control - Alt'!$C$9:$O$27,MATCH(L$97,'Control - Alt'!$B$9:$B$27,0),MATCH($Q65,'Control - Alt'!$C$32:$O$32,0)),
IFERROR(INDEX(Stockpile!$C$10:$M$26,MATCH(L$97,Stockpile!$B$10:$B$26,0),MATCH($Q65,Stockpile!$C$30:$M$30,0)),
IFERROR(INDEX('Asphalt Silo &amp; Unloading'!$D$10:$M$44,MATCH(L$97,'Asphalt Silo &amp; Unloading'!$B$10:$B$44,0),MATCH($Q65,'Asphalt Silo &amp; Unloading'!$D$49:$M$49,0)),""))))))</f>
        <v/>
      </c>
      <c r="M65" s="590" t="str">
        <f>IFERROR(INDEX('Material Handling'!$C$10:$AH$33,MATCH(M$97,Material_Handling[Data],0),MATCH($Q65,'Material Handling'!$C$40:$AH$40,0)), IFERROR(INDEX('Drop Point'!$B$13:$M$36,MATCH(M$97,'Drop Point'!$B$13:$B$37,0),MATCH($Q65,'Drop Point'!$B$41:$M$41,0)),
IFERROR(INDEX('Control - Grain dscf'!$C$11:$N$27,MATCH(M$97,'Control - Grain dscf'!$B$11:$B$27,0),MATCH($Q65,'Control - Grain dscf'!$C$32:$N$32,0)),
IFERROR(INDEX('Control - Alt'!$C$9:$O$27,MATCH(M$97,'Control - Alt'!$B$9:$B$27,0),MATCH($Q65,'Control - Alt'!$C$32:$O$32,0)),
IFERROR(INDEX(Stockpile!$C$10:$M$26,MATCH(M$97,Stockpile!$B$10:$B$26,0),MATCH($Q65,Stockpile!$C$30:$M$30,0)),
IFERROR(INDEX('Asphalt Silo &amp; Unloading'!$D$10:$M$44,MATCH(M$97,'Asphalt Silo &amp; Unloading'!$B$10:$B$44,0),MATCH($Q65,'Asphalt Silo &amp; Unloading'!$D$49:$M$49,0)),""))))))</f>
        <v/>
      </c>
      <c r="N65" s="590" t="str">
        <f>IFERROR(INDEX('Material Handling'!$C$10:$AH$33,MATCH(N$97,Material_Handling[Data],0),MATCH($Q65,'Material Handling'!$C$40:$AH$40,0)), IFERROR(INDEX('Drop Point'!$B$13:$M$36,MATCH(N$97,'Drop Point'!$B$13:$B$37,0),MATCH($Q65,'Drop Point'!$B$41:$M$41,0)),
IFERROR(INDEX('Control - Grain dscf'!$C$11:$N$27,MATCH(N$97,'Control - Grain dscf'!$B$11:$B$27,0),MATCH($Q65,'Control - Grain dscf'!$C$32:$N$32,0)),
IFERROR(INDEX('Control - Alt'!$C$9:$O$27,MATCH(N$97,'Control - Alt'!$B$9:$B$27,0),MATCH($Q65,'Control - Alt'!$C$32:$O$32,0)),
IFERROR(INDEX(Stockpile!$C$10:$M$26,MATCH(N$97,Stockpile!$B$10:$B$26,0),MATCH($Q65,Stockpile!$C$30:$M$30,0)),
IFERROR(INDEX('Asphalt Silo &amp; Unloading'!$D$10:$M$44,MATCH(N$97,'Asphalt Silo &amp; Unloading'!$B$10:$B$44,0),MATCH($Q65,'Asphalt Silo &amp; Unloading'!$D$49:$M$49,0)),""))))))</f>
        <v/>
      </c>
      <c r="O65" s="591" t="str">
        <f>IFERROR(INDEX('Material Handling'!$C$10:$AH$33,MATCH(O$97,Material_Handling[Data],0),MATCH($Q65,'Material Handling'!$C$40:$AH$40,0)), IFERROR(INDEX('Drop Point'!$B$13:$M$36,MATCH(O$97,'Drop Point'!$B$13:$B$37,0),MATCH($Q65,'Drop Point'!$B$41:$M$41,0)),
IFERROR(INDEX('Control - Grain dscf'!$C$11:$N$27,MATCH(O$97,'Control - Grain dscf'!$B$11:$B$27,0),MATCH($Q65,'Control - Grain dscf'!$C$32:$N$32,0)),
IFERROR(INDEX('Control - Alt'!$C$9:$O$27,MATCH(O$97,'Control - Alt'!$B$9:$B$27,0),MATCH($Q65,'Control - Alt'!$C$32:$O$32,0)),
IFERROR(INDEX(Stockpile!$C$10:$M$26,MATCH(O$97,Stockpile!$B$10:$B$26,0),MATCH($Q65,Stockpile!$C$30:$M$30,0)),
IFERROR(INDEX('Asphalt Silo &amp; Unloading'!$D$10:$M$44,MATCH(O$97,'Asphalt Silo &amp; Unloading'!$B$10:$B$44,0),MATCH($Q65,'Asphalt Silo &amp; Unloading'!$D$49:$M$49,0)),""))))))</f>
        <v/>
      </c>
      <c r="Q65" s="131">
        <f t="shared" si="1"/>
        <v>57</v>
      </c>
    </row>
    <row r="66" spans="1:17" ht="20.100000000000001" customHeight="1">
      <c r="A66" s="293" t="str">
        <f>IFERROR(INDEX('Material Handling'!$C$10:$AH$33,MATCH(A$97,Material_Handling[Data],0),MATCH($Q66,'Material Handling'!$C$40:$AH$40,0)), IFERROR(INDEX('Drop Point'!$B$13:$M$36,MATCH(A$97,'Drop Point'!$B$13:$B$37,0),MATCH($Q66,'Drop Point'!$B$41:$M$41,0)),
IFERROR(INDEX('Control - Grain dscf'!$C$11:$N$27,MATCH(A$97,'Control - Grain dscf'!$B$11:$B$27,0),MATCH($Q66,'Control - Grain dscf'!$C$32:$N$32,0)),
IFERROR(INDEX('Control - Alt'!$C$9:$O$27,MATCH(A$97,'Control - Alt'!$B$9:$B$27,0),MATCH($Q66,'Control - Alt'!$C$32:$O$32,0)),
IFERROR(INDEX(Stockpile!$C$10:$M$26,MATCH(A$97,Stockpile!$B$10:$B$26,0),MATCH($Q66,Stockpile!$C$30:$M$30,0)),
IFERROR(INDEX('Asphalt Silo &amp; Unloading'!$D$10:$M$44,MATCH(A$97,'Asphalt Silo &amp; Unloading'!$B$10:$B$44,0),MATCH($Q66,'Asphalt Silo &amp; Unloading'!$D$49:$M$49,0)),""))))))</f>
        <v/>
      </c>
      <c r="B66" s="135" t="str">
        <f>IFERROR(INDEX('Material Handling'!$C$10:$AH$33,MATCH(B$97,Material_Handling[Data],0),MATCH($Q66,'Material Handling'!$C$40:$AH$40,0)), IFERROR(INDEX('Drop Point'!$B$13:$M$36,MATCH(B$97,'Drop Point'!$B$13:$B$37,0),MATCH($Q66,'Drop Point'!$B$41:$M$41,0)),
IFERROR(INDEX('Control - Grain dscf'!$C$11:$N$27,MATCH(B$97,'Control - Grain dscf'!$B$11:$B$27,0),MATCH($Q66,'Control - Grain dscf'!$C$32:$N$32,0)),
IFERROR(INDEX('Control - Alt'!$C$9:$O$27,MATCH(B$97,'Control - Alt'!$B$9:$B$27,0),MATCH($Q66,'Control - Alt'!$C$32:$O$32,0)),
IFERROR(INDEX(Stockpile!$C$10:$M$26,MATCH(B$97,Stockpile!$B$10:$B$26,0),MATCH($Q66,Stockpile!$C$30:$M$30,0)),
IFERROR(INDEX('Asphalt Silo &amp; Unloading'!$D$10:$M$44,MATCH(B$97,'Asphalt Silo &amp; Unloading'!$B$10:$B$44,0),MATCH($Q66,'Asphalt Silo &amp; Unloading'!$D$49:$M$49,0)),""))))))</f>
        <v/>
      </c>
      <c r="C66" s="135" t="str">
        <f>IFERROR(INDEX('Material Handling'!$C$10:$AH$33,MATCH(C$97,Material_Handling[Data],0),MATCH($Q66,'Material Handling'!$C$40:$AH$40,0)), IFERROR(INDEX('Drop Point'!$B$13:$M$36,MATCH(C$97,'Drop Point'!$B$13:$B$37,0),MATCH($Q66,'Drop Point'!$B$41:$M$41,0)),
IFERROR(INDEX('Control - Grain dscf'!$C$11:$N$27,MATCH(C$97,'Control - Grain dscf'!$B$11:$B$27,0),MATCH($Q66,'Control - Grain dscf'!$C$32:$N$32,0)),
IFERROR(INDEX('Control - Alt'!$C$9:$O$27,MATCH(C$97,'Control - Alt'!$B$9:$B$27,0),MATCH($Q66,'Control - Alt'!$C$32:$O$32,0)),
IFERROR(INDEX(Stockpile!$C$10:$M$26,MATCH(C$97,Stockpile!$B$10:$B$26,0),MATCH($Q66,Stockpile!$C$30:$M$30,0)),
IFERROR(INDEX('Asphalt Silo &amp; Unloading'!$D$10:$M$44,MATCH(C$97,'Asphalt Silo &amp; Unloading'!$B$10:$B$44,0),MATCH($Q66,'Asphalt Silo &amp; Unloading'!$D$49:$M$49,0)),""))))))</f>
        <v/>
      </c>
      <c r="D66" s="135" t="str">
        <f>IFERROR(INDEX('Material Handling'!$C$10:$AH$33,MATCH(D$97,Material_Handling[Data],0),MATCH($Q66,'Material Handling'!$C$40:$AH$40,0)), IFERROR(INDEX('Drop Point'!$B$13:$M$36,MATCH(D$97,'Drop Point'!$B$13:$B$37,0),MATCH($Q66,'Drop Point'!$B$41:$M$41,0)),
IFERROR(INDEX('Control - Grain dscf'!$C$11:$N$27,MATCH(D$97,'Control - Grain dscf'!$B$11:$B$27,0),MATCH($Q66,'Control - Grain dscf'!$C$32:$N$32,0)),
IFERROR(INDEX('Control - Alt'!$C$9:$O$27,MATCH(D$97,'Control - Alt'!$B$9:$B$27,0),MATCH($Q66,'Control - Alt'!$C$32:$O$32,0)),
IFERROR(INDEX(Stockpile!$C$10:$M$26,MATCH(D$97,Stockpile!$B$10:$B$26,0),MATCH($Q66,Stockpile!$C$30:$M$30,0)),
IFERROR(INDEX('Asphalt Silo &amp; Unloading'!$D$10:$M$44,MATCH(D$97,'Asphalt Silo &amp; Unloading'!$B$10:$B$44,0),MATCH($Q66,'Asphalt Silo &amp; Unloading'!$D$49:$M$49,0)),""))))))</f>
        <v/>
      </c>
      <c r="E66" s="620" t="str">
        <f>IFERROR(INDEX('Material Handling'!$C$10:$AH$33,MATCH(E$97,Material_Handling[Data],0),MATCH($Q66,'Material Handling'!$C$40:$AH$40,0)), IFERROR(INDEX('Drop Point'!$B$13:$M$36,MATCH(E$97,'Drop Point'!$B$13:$B$37,0),MATCH($Q66,'Drop Point'!$B$41:$M$41,0)),
IFERROR(INDEX('Control - Grain dscf'!$C$11:$N$27,MATCH(E$97,'Control - Grain dscf'!$B$11:$B$27,0),MATCH($Q66,'Control - Grain dscf'!$C$32:$N$32,0)),
IFERROR(INDEX('Control - Alt'!$C$9:$O$27,MATCH(E$97,'Control - Alt'!$B$9:$B$27,0),MATCH($Q66,'Control - Alt'!$C$32:$O$32,0)),
IFERROR(INDEX(Stockpile!$C$10:$M$26,MATCH(E$97,Stockpile!$B$10:$B$26,0),MATCH($Q66,Stockpile!$C$30:$M$30,0)),
IFERROR(INDEX('Asphalt Silo &amp; Unloading'!$D$10:$M$44,MATCH(E$97,'Asphalt Silo &amp; Unloading'!$B$10:$B$44,0),MATCH($Q66,'Asphalt Silo &amp; Unloading'!$D$49:$M$49,0)),""))))))</f>
        <v/>
      </c>
      <c r="F66" s="590" t="str">
        <f>IFERROR(INDEX('Material Handling'!$C$10:$AH$33,MATCH(F$97,Material_Handling[Data],0),MATCH($Q66,'Material Handling'!$C$40:$AH$40,0)), IFERROR(INDEX('Drop Point'!$B$13:$M$36,MATCH(F$97,'Drop Point'!$B$13:$B$37,0),MATCH($Q66,'Drop Point'!$B$41:$M$41,0)),
IFERROR(INDEX('Control - Grain dscf'!$C$11:$N$27,MATCH(F$97,'Control - Grain dscf'!$B$11:$B$27,0),MATCH($Q66,'Control - Grain dscf'!$C$32:$N$32,0)),
IFERROR(INDEX('Control - Alt'!$C$9:$O$27,MATCH(F$97,'Control - Alt'!$B$9:$B$27,0),MATCH($Q66,'Control - Alt'!$C$32:$O$32,0)),
IFERROR(INDEX(Stockpile!$C$10:$M$26,MATCH(F$97,Stockpile!$B$10:$B$26,0),MATCH($Q66,Stockpile!$C$30:$M$30,0)),
IFERROR(INDEX('Asphalt Silo &amp; Unloading'!$D$10:$M$44,MATCH(F$97,'Asphalt Silo &amp; Unloading'!$B$10:$B$44,0),MATCH($Q66,'Asphalt Silo &amp; Unloading'!$D$49:$M$49,0)),""))))))</f>
        <v/>
      </c>
      <c r="G66" s="590" t="str">
        <f>IFERROR(INDEX('Material Handling'!$C$10:$AH$33,MATCH(G$97,Material_Handling[Data],0),MATCH($Q66,'Material Handling'!$C$40:$AH$40,0)), IFERROR(INDEX('Drop Point'!$B$13:$M$36,MATCH(G$97,'Drop Point'!$B$13:$B$37,0),MATCH($Q66,'Drop Point'!$B$41:$M$41,0)),
IFERROR(INDEX('Control - Grain dscf'!$C$11:$N$27,MATCH(G$97,'Control - Grain dscf'!$B$11:$B$27,0),MATCH($Q66,'Control - Grain dscf'!$C$32:$N$32,0)),
IFERROR(INDEX('Control - Alt'!$C$9:$O$27,MATCH(G$97,'Control - Alt'!$B$9:$B$27,0),MATCH($Q66,'Control - Alt'!$C$32:$O$32,0)),
IFERROR(INDEX(Stockpile!$C$10:$M$26,MATCH(G$97,Stockpile!$B$10:$B$26,0),MATCH($Q66,Stockpile!$C$30:$M$30,0)),
IFERROR(INDEX('Asphalt Silo &amp; Unloading'!$D$10:$M$44,MATCH(G$97,'Asphalt Silo &amp; Unloading'!$B$10:$B$44,0),MATCH($Q66,'Asphalt Silo &amp; Unloading'!$D$49:$M$49,0)),""))))))</f>
        <v/>
      </c>
      <c r="H66" s="590" t="str">
        <f>IFERROR(INDEX('Material Handling'!$C$10:$AH$33,MATCH(H$97,Material_Handling[Data],0),MATCH($Q66,'Material Handling'!$C$40:$AH$40,0)), IFERROR(INDEX('Drop Point'!$B$13:$M$36,MATCH(H$97,'Drop Point'!$B$13:$B$37,0),MATCH($Q66,'Drop Point'!$B$41:$M$41,0)),
IFERROR(INDEX('Control - Grain dscf'!$C$11:$N$27,MATCH(H$97,'Control - Grain dscf'!$B$11:$B$27,0),MATCH($Q66,'Control - Grain dscf'!$C$32:$N$32,0)),
IFERROR(INDEX('Control - Alt'!$C$9:$O$27,MATCH(H$97,'Control - Alt'!$B$9:$B$27,0),MATCH($Q66,'Control - Alt'!$C$32:$O$32,0)),
IFERROR(INDEX(Stockpile!$C$10:$M$26,MATCH(H$97,Stockpile!$B$10:$B$26,0),MATCH($Q66,Stockpile!$C$30:$M$30,0)),
IFERROR(INDEX('Asphalt Silo &amp; Unloading'!$D$10:$M$44,MATCH(H$97,'Asphalt Silo &amp; Unloading'!$B$10:$B$44,0),MATCH($Q66,'Asphalt Silo &amp; Unloading'!$D$49:$M$49,0)),""))))))</f>
        <v/>
      </c>
      <c r="I66" s="590" t="str">
        <f>IFERROR(INDEX('Material Handling'!$C$10:$AH$33,MATCH(I$97,Material_Handling[Data],0),MATCH($Q66,'Material Handling'!$C$40:$AH$40,0)), IFERROR(INDEX('Drop Point'!$B$13:$M$36,MATCH(I$97,'Drop Point'!$B$13:$B$37,0),MATCH($Q66,'Drop Point'!$B$41:$M$41,0)),
IFERROR(INDEX('Control - Grain dscf'!$C$11:$N$27,MATCH(I$97,'Control - Grain dscf'!$B$11:$B$27,0),MATCH($Q66,'Control - Grain dscf'!$C$32:$N$32,0)),
IFERROR(INDEX('Control - Alt'!$C$9:$O$27,MATCH(I$97,'Control - Alt'!$B$9:$B$27,0),MATCH($Q66,'Control - Alt'!$C$32:$O$32,0)),
IFERROR(INDEX(Stockpile!$C$10:$M$26,MATCH(I$97,Stockpile!$B$10:$B$26,0),MATCH($Q66,Stockpile!$C$30:$M$30,0)),
IFERROR(INDEX('Asphalt Silo &amp; Unloading'!$D$10:$M$44,MATCH(I$97,'Asphalt Silo &amp; Unloading'!$B$10:$B$44,0),MATCH($Q66,'Asphalt Silo &amp; Unloading'!$D$49:$M$49,0)),""))))))</f>
        <v/>
      </c>
      <c r="J66" s="590" t="str">
        <f>IFERROR(INDEX('Material Handling'!$C$10:$AH$33,MATCH(J$97,Material_Handling[Data],0),MATCH($Q66,'Material Handling'!$C$40:$AH$40,0)), IFERROR(INDEX('Drop Point'!$B$13:$M$36,MATCH(J$97,'Drop Point'!$B$13:$B$37,0),MATCH($Q66,'Drop Point'!$B$41:$M$41,0)),
IFERROR(INDEX('Control - Grain dscf'!$C$11:$N$27,MATCH(J$97,'Control - Grain dscf'!$B$11:$B$27,0),MATCH($Q66,'Control - Grain dscf'!$C$32:$N$32,0)),
IFERROR(INDEX('Control - Alt'!$C$9:$O$27,MATCH(J$97,'Control - Alt'!$B$9:$B$27,0),MATCH($Q66,'Control - Alt'!$C$32:$O$32,0)),
IFERROR(INDEX(Stockpile!$C$10:$M$26,MATCH(J$97,Stockpile!$B$10:$B$26,0),MATCH($Q66,Stockpile!$C$30:$M$30,0)),
IFERROR(INDEX('Asphalt Silo &amp; Unloading'!$D$10:$M$44,MATCH(J$97,'Asphalt Silo &amp; Unloading'!$B$10:$B$44,0),MATCH($Q66,'Asphalt Silo &amp; Unloading'!$D$49:$M$49,0)),""))))))</f>
        <v/>
      </c>
      <c r="K66" s="590" t="str">
        <f>IFERROR(INDEX('Material Handling'!$C$10:$AH$33,MATCH(K$97,Material_Handling[Data],0),MATCH($Q66,'Material Handling'!$C$40:$AH$40,0)), IFERROR(INDEX('Drop Point'!$B$13:$M$36,MATCH(K$97,'Drop Point'!$B$13:$B$37,0),MATCH($Q66,'Drop Point'!$B$41:$M$41,0)),
IFERROR(INDEX('Control - Grain dscf'!$C$11:$N$27,MATCH(K$97,'Control - Grain dscf'!$B$11:$B$27,0),MATCH($Q66,'Control - Grain dscf'!$C$32:$N$32,0)),
IFERROR(INDEX('Control - Alt'!$C$9:$O$27,MATCH(K$97,'Control - Alt'!$B$9:$B$27,0),MATCH($Q66,'Control - Alt'!$C$32:$O$32,0)),
IFERROR(INDEX(Stockpile!$C$10:$M$26,MATCH(K$97,Stockpile!$B$10:$B$26,0),MATCH($Q66,Stockpile!$C$30:$M$30,0)),
IFERROR(INDEX('Asphalt Silo &amp; Unloading'!$D$10:$M$44,MATCH(K$97,'Asphalt Silo &amp; Unloading'!$B$10:$B$44,0),MATCH($Q66,'Asphalt Silo &amp; Unloading'!$D$49:$M$49,0)),""))))))</f>
        <v/>
      </c>
      <c r="L66" s="590" t="str">
        <f>IFERROR(INDEX('Material Handling'!$C$10:$AH$33,MATCH(L$97,Material_Handling[Data],0),MATCH($Q66,'Material Handling'!$C$40:$AH$40,0)), IFERROR(INDEX('Drop Point'!$B$13:$M$36,MATCH(L$97,'Drop Point'!$B$13:$B$37,0),MATCH($Q66,'Drop Point'!$B$41:$M$41,0)),
IFERROR(INDEX('Control - Grain dscf'!$C$11:$N$27,MATCH(L$97,'Control - Grain dscf'!$B$11:$B$27,0),MATCH($Q66,'Control - Grain dscf'!$C$32:$N$32,0)),
IFERROR(INDEX('Control - Alt'!$C$9:$O$27,MATCH(L$97,'Control - Alt'!$B$9:$B$27,0),MATCH($Q66,'Control - Alt'!$C$32:$O$32,0)),
IFERROR(INDEX(Stockpile!$C$10:$M$26,MATCH(L$97,Stockpile!$B$10:$B$26,0),MATCH($Q66,Stockpile!$C$30:$M$30,0)),
IFERROR(INDEX('Asphalt Silo &amp; Unloading'!$D$10:$M$44,MATCH(L$97,'Asphalt Silo &amp; Unloading'!$B$10:$B$44,0),MATCH($Q66,'Asphalt Silo &amp; Unloading'!$D$49:$M$49,0)),""))))))</f>
        <v/>
      </c>
      <c r="M66" s="590" t="str">
        <f>IFERROR(INDEX('Material Handling'!$C$10:$AH$33,MATCH(M$97,Material_Handling[Data],0),MATCH($Q66,'Material Handling'!$C$40:$AH$40,0)), IFERROR(INDEX('Drop Point'!$B$13:$M$36,MATCH(M$97,'Drop Point'!$B$13:$B$37,0),MATCH($Q66,'Drop Point'!$B$41:$M$41,0)),
IFERROR(INDEX('Control - Grain dscf'!$C$11:$N$27,MATCH(M$97,'Control - Grain dscf'!$B$11:$B$27,0),MATCH($Q66,'Control - Grain dscf'!$C$32:$N$32,0)),
IFERROR(INDEX('Control - Alt'!$C$9:$O$27,MATCH(M$97,'Control - Alt'!$B$9:$B$27,0),MATCH($Q66,'Control - Alt'!$C$32:$O$32,0)),
IFERROR(INDEX(Stockpile!$C$10:$M$26,MATCH(M$97,Stockpile!$B$10:$B$26,0),MATCH($Q66,Stockpile!$C$30:$M$30,0)),
IFERROR(INDEX('Asphalt Silo &amp; Unloading'!$D$10:$M$44,MATCH(M$97,'Asphalt Silo &amp; Unloading'!$B$10:$B$44,0),MATCH($Q66,'Asphalt Silo &amp; Unloading'!$D$49:$M$49,0)),""))))))</f>
        <v/>
      </c>
      <c r="N66" s="590" t="str">
        <f>IFERROR(INDEX('Material Handling'!$C$10:$AH$33,MATCH(N$97,Material_Handling[Data],0),MATCH($Q66,'Material Handling'!$C$40:$AH$40,0)), IFERROR(INDEX('Drop Point'!$B$13:$M$36,MATCH(N$97,'Drop Point'!$B$13:$B$37,0),MATCH($Q66,'Drop Point'!$B$41:$M$41,0)),
IFERROR(INDEX('Control - Grain dscf'!$C$11:$N$27,MATCH(N$97,'Control - Grain dscf'!$B$11:$B$27,0),MATCH($Q66,'Control - Grain dscf'!$C$32:$N$32,0)),
IFERROR(INDEX('Control - Alt'!$C$9:$O$27,MATCH(N$97,'Control - Alt'!$B$9:$B$27,0),MATCH($Q66,'Control - Alt'!$C$32:$O$32,0)),
IFERROR(INDEX(Stockpile!$C$10:$M$26,MATCH(N$97,Stockpile!$B$10:$B$26,0),MATCH($Q66,Stockpile!$C$30:$M$30,0)),
IFERROR(INDEX('Asphalt Silo &amp; Unloading'!$D$10:$M$44,MATCH(N$97,'Asphalt Silo &amp; Unloading'!$B$10:$B$44,0),MATCH($Q66,'Asphalt Silo &amp; Unloading'!$D$49:$M$49,0)),""))))))</f>
        <v/>
      </c>
      <c r="O66" s="591" t="str">
        <f>IFERROR(INDEX('Material Handling'!$C$10:$AH$33,MATCH(O$97,Material_Handling[Data],0),MATCH($Q66,'Material Handling'!$C$40:$AH$40,0)), IFERROR(INDEX('Drop Point'!$B$13:$M$36,MATCH(O$97,'Drop Point'!$B$13:$B$37,0),MATCH($Q66,'Drop Point'!$B$41:$M$41,0)),
IFERROR(INDEX('Control - Grain dscf'!$C$11:$N$27,MATCH(O$97,'Control - Grain dscf'!$B$11:$B$27,0),MATCH($Q66,'Control - Grain dscf'!$C$32:$N$32,0)),
IFERROR(INDEX('Control - Alt'!$C$9:$O$27,MATCH(O$97,'Control - Alt'!$B$9:$B$27,0),MATCH($Q66,'Control - Alt'!$C$32:$O$32,0)),
IFERROR(INDEX(Stockpile!$C$10:$M$26,MATCH(O$97,Stockpile!$B$10:$B$26,0),MATCH($Q66,Stockpile!$C$30:$M$30,0)),
IFERROR(INDEX('Asphalt Silo &amp; Unloading'!$D$10:$M$44,MATCH(O$97,'Asphalt Silo &amp; Unloading'!$B$10:$B$44,0),MATCH($Q66,'Asphalt Silo &amp; Unloading'!$D$49:$M$49,0)),""))))))</f>
        <v/>
      </c>
      <c r="Q66" s="131">
        <f t="shared" si="1"/>
        <v>58</v>
      </c>
    </row>
    <row r="67" spans="1:17" ht="20.100000000000001" customHeight="1">
      <c r="A67" s="293" t="str">
        <f>IFERROR(INDEX('Material Handling'!$C$10:$AH$33,MATCH(A$97,Material_Handling[Data],0),MATCH($Q67,'Material Handling'!$C$40:$AH$40,0)), IFERROR(INDEX('Drop Point'!$B$13:$M$36,MATCH(A$97,'Drop Point'!$B$13:$B$37,0),MATCH($Q67,'Drop Point'!$B$41:$M$41,0)),
IFERROR(INDEX('Control - Grain dscf'!$C$11:$N$27,MATCH(A$97,'Control - Grain dscf'!$B$11:$B$27,0),MATCH($Q67,'Control - Grain dscf'!$C$32:$N$32,0)),
IFERROR(INDEX('Control - Alt'!$C$9:$O$27,MATCH(A$97,'Control - Alt'!$B$9:$B$27,0),MATCH($Q67,'Control - Alt'!$C$32:$O$32,0)),
IFERROR(INDEX(Stockpile!$C$10:$M$26,MATCH(A$97,Stockpile!$B$10:$B$26,0),MATCH($Q67,Stockpile!$C$30:$M$30,0)),
IFERROR(INDEX('Asphalt Silo &amp; Unloading'!$D$10:$M$44,MATCH(A$97,'Asphalt Silo &amp; Unloading'!$B$10:$B$44,0),MATCH($Q67,'Asphalt Silo &amp; Unloading'!$D$49:$M$49,0)),""))))))</f>
        <v/>
      </c>
      <c r="B67" s="135" t="str">
        <f>IFERROR(INDEX('Material Handling'!$C$10:$AH$33,MATCH(B$97,Material_Handling[Data],0),MATCH($Q67,'Material Handling'!$C$40:$AH$40,0)), IFERROR(INDEX('Drop Point'!$B$13:$M$36,MATCH(B$97,'Drop Point'!$B$13:$B$37,0),MATCH($Q67,'Drop Point'!$B$41:$M$41,0)),
IFERROR(INDEX('Control - Grain dscf'!$C$11:$N$27,MATCH(B$97,'Control - Grain dscf'!$B$11:$B$27,0),MATCH($Q67,'Control - Grain dscf'!$C$32:$N$32,0)),
IFERROR(INDEX('Control - Alt'!$C$9:$O$27,MATCH(B$97,'Control - Alt'!$B$9:$B$27,0),MATCH($Q67,'Control - Alt'!$C$32:$O$32,0)),
IFERROR(INDEX(Stockpile!$C$10:$M$26,MATCH(B$97,Stockpile!$B$10:$B$26,0),MATCH($Q67,Stockpile!$C$30:$M$30,0)),
IFERROR(INDEX('Asphalt Silo &amp; Unloading'!$D$10:$M$44,MATCH(B$97,'Asphalt Silo &amp; Unloading'!$B$10:$B$44,0),MATCH($Q67,'Asphalt Silo &amp; Unloading'!$D$49:$M$49,0)),""))))))</f>
        <v/>
      </c>
      <c r="C67" s="135" t="str">
        <f>IFERROR(INDEX('Material Handling'!$C$10:$AH$33,MATCH(C$97,Material_Handling[Data],0),MATCH($Q67,'Material Handling'!$C$40:$AH$40,0)), IFERROR(INDEX('Drop Point'!$B$13:$M$36,MATCH(C$97,'Drop Point'!$B$13:$B$37,0),MATCH($Q67,'Drop Point'!$B$41:$M$41,0)),
IFERROR(INDEX('Control - Grain dscf'!$C$11:$N$27,MATCH(C$97,'Control - Grain dscf'!$B$11:$B$27,0),MATCH($Q67,'Control - Grain dscf'!$C$32:$N$32,0)),
IFERROR(INDEX('Control - Alt'!$C$9:$O$27,MATCH(C$97,'Control - Alt'!$B$9:$B$27,0),MATCH($Q67,'Control - Alt'!$C$32:$O$32,0)),
IFERROR(INDEX(Stockpile!$C$10:$M$26,MATCH(C$97,Stockpile!$B$10:$B$26,0),MATCH($Q67,Stockpile!$C$30:$M$30,0)),
IFERROR(INDEX('Asphalt Silo &amp; Unloading'!$D$10:$M$44,MATCH(C$97,'Asphalt Silo &amp; Unloading'!$B$10:$B$44,0),MATCH($Q67,'Asphalt Silo &amp; Unloading'!$D$49:$M$49,0)),""))))))</f>
        <v/>
      </c>
      <c r="D67" s="135" t="str">
        <f>IFERROR(INDEX('Material Handling'!$C$10:$AH$33,MATCH(D$97,Material_Handling[Data],0),MATCH($Q67,'Material Handling'!$C$40:$AH$40,0)), IFERROR(INDEX('Drop Point'!$B$13:$M$36,MATCH(D$97,'Drop Point'!$B$13:$B$37,0),MATCH($Q67,'Drop Point'!$B$41:$M$41,0)),
IFERROR(INDEX('Control - Grain dscf'!$C$11:$N$27,MATCH(D$97,'Control - Grain dscf'!$B$11:$B$27,0),MATCH($Q67,'Control - Grain dscf'!$C$32:$N$32,0)),
IFERROR(INDEX('Control - Alt'!$C$9:$O$27,MATCH(D$97,'Control - Alt'!$B$9:$B$27,0),MATCH($Q67,'Control - Alt'!$C$32:$O$32,0)),
IFERROR(INDEX(Stockpile!$C$10:$M$26,MATCH(D$97,Stockpile!$B$10:$B$26,0),MATCH($Q67,Stockpile!$C$30:$M$30,0)),
IFERROR(INDEX('Asphalt Silo &amp; Unloading'!$D$10:$M$44,MATCH(D$97,'Asphalt Silo &amp; Unloading'!$B$10:$B$44,0),MATCH($Q67,'Asphalt Silo &amp; Unloading'!$D$49:$M$49,0)),""))))))</f>
        <v/>
      </c>
      <c r="E67" s="620" t="str">
        <f>IFERROR(INDEX('Material Handling'!$C$10:$AH$33,MATCH(E$97,Material_Handling[Data],0),MATCH($Q67,'Material Handling'!$C$40:$AH$40,0)), IFERROR(INDEX('Drop Point'!$B$13:$M$36,MATCH(E$97,'Drop Point'!$B$13:$B$37,0),MATCH($Q67,'Drop Point'!$B$41:$M$41,0)),
IFERROR(INDEX('Control - Grain dscf'!$C$11:$N$27,MATCH(E$97,'Control - Grain dscf'!$B$11:$B$27,0),MATCH($Q67,'Control - Grain dscf'!$C$32:$N$32,0)),
IFERROR(INDEX('Control - Alt'!$C$9:$O$27,MATCH(E$97,'Control - Alt'!$B$9:$B$27,0),MATCH($Q67,'Control - Alt'!$C$32:$O$32,0)),
IFERROR(INDEX(Stockpile!$C$10:$M$26,MATCH(E$97,Stockpile!$B$10:$B$26,0),MATCH($Q67,Stockpile!$C$30:$M$30,0)),
IFERROR(INDEX('Asphalt Silo &amp; Unloading'!$D$10:$M$44,MATCH(E$97,'Asphalt Silo &amp; Unloading'!$B$10:$B$44,0),MATCH($Q67,'Asphalt Silo &amp; Unloading'!$D$49:$M$49,0)),""))))))</f>
        <v/>
      </c>
      <c r="F67" s="590" t="str">
        <f>IFERROR(INDEX('Material Handling'!$C$10:$AH$33,MATCH(F$97,Material_Handling[Data],0),MATCH($Q67,'Material Handling'!$C$40:$AH$40,0)), IFERROR(INDEX('Drop Point'!$B$13:$M$36,MATCH(F$97,'Drop Point'!$B$13:$B$37,0),MATCH($Q67,'Drop Point'!$B$41:$M$41,0)),
IFERROR(INDEX('Control - Grain dscf'!$C$11:$N$27,MATCH(F$97,'Control - Grain dscf'!$B$11:$B$27,0),MATCH($Q67,'Control - Grain dscf'!$C$32:$N$32,0)),
IFERROR(INDEX('Control - Alt'!$C$9:$O$27,MATCH(F$97,'Control - Alt'!$B$9:$B$27,0),MATCH($Q67,'Control - Alt'!$C$32:$O$32,0)),
IFERROR(INDEX(Stockpile!$C$10:$M$26,MATCH(F$97,Stockpile!$B$10:$B$26,0),MATCH($Q67,Stockpile!$C$30:$M$30,0)),
IFERROR(INDEX('Asphalt Silo &amp; Unloading'!$D$10:$M$44,MATCH(F$97,'Asphalt Silo &amp; Unloading'!$B$10:$B$44,0),MATCH($Q67,'Asphalt Silo &amp; Unloading'!$D$49:$M$49,0)),""))))))</f>
        <v/>
      </c>
      <c r="G67" s="590" t="str">
        <f>IFERROR(INDEX('Material Handling'!$C$10:$AH$33,MATCH(G$97,Material_Handling[Data],0),MATCH($Q67,'Material Handling'!$C$40:$AH$40,0)), IFERROR(INDEX('Drop Point'!$B$13:$M$36,MATCH(G$97,'Drop Point'!$B$13:$B$37,0),MATCH($Q67,'Drop Point'!$B$41:$M$41,0)),
IFERROR(INDEX('Control - Grain dscf'!$C$11:$N$27,MATCH(G$97,'Control - Grain dscf'!$B$11:$B$27,0),MATCH($Q67,'Control - Grain dscf'!$C$32:$N$32,0)),
IFERROR(INDEX('Control - Alt'!$C$9:$O$27,MATCH(G$97,'Control - Alt'!$B$9:$B$27,0),MATCH($Q67,'Control - Alt'!$C$32:$O$32,0)),
IFERROR(INDEX(Stockpile!$C$10:$M$26,MATCH(G$97,Stockpile!$B$10:$B$26,0),MATCH($Q67,Stockpile!$C$30:$M$30,0)),
IFERROR(INDEX('Asphalt Silo &amp; Unloading'!$D$10:$M$44,MATCH(G$97,'Asphalt Silo &amp; Unloading'!$B$10:$B$44,0),MATCH($Q67,'Asphalt Silo &amp; Unloading'!$D$49:$M$49,0)),""))))))</f>
        <v/>
      </c>
      <c r="H67" s="590" t="str">
        <f>IFERROR(INDEX('Material Handling'!$C$10:$AH$33,MATCH(H$97,Material_Handling[Data],0),MATCH($Q67,'Material Handling'!$C$40:$AH$40,0)), IFERROR(INDEX('Drop Point'!$B$13:$M$36,MATCH(H$97,'Drop Point'!$B$13:$B$37,0),MATCH($Q67,'Drop Point'!$B$41:$M$41,0)),
IFERROR(INDEX('Control - Grain dscf'!$C$11:$N$27,MATCH(H$97,'Control - Grain dscf'!$B$11:$B$27,0),MATCH($Q67,'Control - Grain dscf'!$C$32:$N$32,0)),
IFERROR(INDEX('Control - Alt'!$C$9:$O$27,MATCH(H$97,'Control - Alt'!$B$9:$B$27,0),MATCH($Q67,'Control - Alt'!$C$32:$O$32,0)),
IFERROR(INDEX(Stockpile!$C$10:$M$26,MATCH(H$97,Stockpile!$B$10:$B$26,0),MATCH($Q67,Stockpile!$C$30:$M$30,0)),
IFERROR(INDEX('Asphalt Silo &amp; Unloading'!$D$10:$M$44,MATCH(H$97,'Asphalt Silo &amp; Unloading'!$B$10:$B$44,0),MATCH($Q67,'Asphalt Silo &amp; Unloading'!$D$49:$M$49,0)),""))))))</f>
        <v/>
      </c>
      <c r="I67" s="590" t="str">
        <f>IFERROR(INDEX('Material Handling'!$C$10:$AH$33,MATCH(I$97,Material_Handling[Data],0),MATCH($Q67,'Material Handling'!$C$40:$AH$40,0)), IFERROR(INDEX('Drop Point'!$B$13:$M$36,MATCH(I$97,'Drop Point'!$B$13:$B$37,0),MATCH($Q67,'Drop Point'!$B$41:$M$41,0)),
IFERROR(INDEX('Control - Grain dscf'!$C$11:$N$27,MATCH(I$97,'Control - Grain dscf'!$B$11:$B$27,0),MATCH($Q67,'Control - Grain dscf'!$C$32:$N$32,0)),
IFERROR(INDEX('Control - Alt'!$C$9:$O$27,MATCH(I$97,'Control - Alt'!$B$9:$B$27,0),MATCH($Q67,'Control - Alt'!$C$32:$O$32,0)),
IFERROR(INDEX(Stockpile!$C$10:$M$26,MATCH(I$97,Stockpile!$B$10:$B$26,0),MATCH($Q67,Stockpile!$C$30:$M$30,0)),
IFERROR(INDEX('Asphalt Silo &amp; Unloading'!$D$10:$M$44,MATCH(I$97,'Asphalt Silo &amp; Unloading'!$B$10:$B$44,0),MATCH($Q67,'Asphalt Silo &amp; Unloading'!$D$49:$M$49,0)),""))))))</f>
        <v/>
      </c>
      <c r="J67" s="590" t="str">
        <f>IFERROR(INDEX('Material Handling'!$C$10:$AH$33,MATCH(J$97,Material_Handling[Data],0),MATCH($Q67,'Material Handling'!$C$40:$AH$40,0)), IFERROR(INDEX('Drop Point'!$B$13:$M$36,MATCH(J$97,'Drop Point'!$B$13:$B$37,0),MATCH($Q67,'Drop Point'!$B$41:$M$41,0)),
IFERROR(INDEX('Control - Grain dscf'!$C$11:$N$27,MATCH(J$97,'Control - Grain dscf'!$B$11:$B$27,0),MATCH($Q67,'Control - Grain dscf'!$C$32:$N$32,0)),
IFERROR(INDEX('Control - Alt'!$C$9:$O$27,MATCH(J$97,'Control - Alt'!$B$9:$B$27,0),MATCH($Q67,'Control - Alt'!$C$32:$O$32,0)),
IFERROR(INDEX(Stockpile!$C$10:$M$26,MATCH(J$97,Stockpile!$B$10:$B$26,0),MATCH($Q67,Stockpile!$C$30:$M$30,0)),
IFERROR(INDEX('Asphalt Silo &amp; Unloading'!$D$10:$M$44,MATCH(J$97,'Asphalt Silo &amp; Unloading'!$B$10:$B$44,0),MATCH($Q67,'Asphalt Silo &amp; Unloading'!$D$49:$M$49,0)),""))))))</f>
        <v/>
      </c>
      <c r="K67" s="590" t="str">
        <f>IFERROR(INDEX('Material Handling'!$C$10:$AH$33,MATCH(K$97,Material_Handling[Data],0),MATCH($Q67,'Material Handling'!$C$40:$AH$40,0)), IFERROR(INDEX('Drop Point'!$B$13:$M$36,MATCH(K$97,'Drop Point'!$B$13:$B$37,0),MATCH($Q67,'Drop Point'!$B$41:$M$41,0)),
IFERROR(INDEX('Control - Grain dscf'!$C$11:$N$27,MATCH(K$97,'Control - Grain dscf'!$B$11:$B$27,0),MATCH($Q67,'Control - Grain dscf'!$C$32:$N$32,0)),
IFERROR(INDEX('Control - Alt'!$C$9:$O$27,MATCH(K$97,'Control - Alt'!$B$9:$B$27,0),MATCH($Q67,'Control - Alt'!$C$32:$O$32,0)),
IFERROR(INDEX(Stockpile!$C$10:$M$26,MATCH(K$97,Stockpile!$B$10:$B$26,0),MATCH($Q67,Stockpile!$C$30:$M$30,0)),
IFERROR(INDEX('Asphalt Silo &amp; Unloading'!$D$10:$M$44,MATCH(K$97,'Asphalt Silo &amp; Unloading'!$B$10:$B$44,0),MATCH($Q67,'Asphalt Silo &amp; Unloading'!$D$49:$M$49,0)),""))))))</f>
        <v/>
      </c>
      <c r="L67" s="590" t="str">
        <f>IFERROR(INDEX('Material Handling'!$C$10:$AH$33,MATCH(L$97,Material_Handling[Data],0),MATCH($Q67,'Material Handling'!$C$40:$AH$40,0)), IFERROR(INDEX('Drop Point'!$B$13:$M$36,MATCH(L$97,'Drop Point'!$B$13:$B$37,0),MATCH($Q67,'Drop Point'!$B$41:$M$41,0)),
IFERROR(INDEX('Control - Grain dscf'!$C$11:$N$27,MATCH(L$97,'Control - Grain dscf'!$B$11:$B$27,0),MATCH($Q67,'Control - Grain dscf'!$C$32:$N$32,0)),
IFERROR(INDEX('Control - Alt'!$C$9:$O$27,MATCH(L$97,'Control - Alt'!$B$9:$B$27,0),MATCH($Q67,'Control - Alt'!$C$32:$O$32,0)),
IFERROR(INDEX(Stockpile!$C$10:$M$26,MATCH(L$97,Stockpile!$B$10:$B$26,0),MATCH($Q67,Stockpile!$C$30:$M$30,0)),
IFERROR(INDEX('Asphalt Silo &amp; Unloading'!$D$10:$M$44,MATCH(L$97,'Asphalt Silo &amp; Unloading'!$B$10:$B$44,0),MATCH($Q67,'Asphalt Silo &amp; Unloading'!$D$49:$M$49,0)),""))))))</f>
        <v/>
      </c>
      <c r="M67" s="590" t="str">
        <f>IFERROR(INDEX('Material Handling'!$C$10:$AH$33,MATCH(M$97,Material_Handling[Data],0),MATCH($Q67,'Material Handling'!$C$40:$AH$40,0)), IFERROR(INDEX('Drop Point'!$B$13:$M$36,MATCH(M$97,'Drop Point'!$B$13:$B$37,0),MATCH($Q67,'Drop Point'!$B$41:$M$41,0)),
IFERROR(INDEX('Control - Grain dscf'!$C$11:$N$27,MATCH(M$97,'Control - Grain dscf'!$B$11:$B$27,0),MATCH($Q67,'Control - Grain dscf'!$C$32:$N$32,0)),
IFERROR(INDEX('Control - Alt'!$C$9:$O$27,MATCH(M$97,'Control - Alt'!$B$9:$B$27,0),MATCH($Q67,'Control - Alt'!$C$32:$O$32,0)),
IFERROR(INDEX(Stockpile!$C$10:$M$26,MATCH(M$97,Stockpile!$B$10:$B$26,0),MATCH($Q67,Stockpile!$C$30:$M$30,0)),
IFERROR(INDEX('Asphalt Silo &amp; Unloading'!$D$10:$M$44,MATCH(M$97,'Asphalt Silo &amp; Unloading'!$B$10:$B$44,0),MATCH($Q67,'Asphalt Silo &amp; Unloading'!$D$49:$M$49,0)),""))))))</f>
        <v/>
      </c>
      <c r="N67" s="590" t="str">
        <f>IFERROR(INDEX('Material Handling'!$C$10:$AH$33,MATCH(N$97,Material_Handling[Data],0),MATCH($Q67,'Material Handling'!$C$40:$AH$40,0)), IFERROR(INDEX('Drop Point'!$B$13:$M$36,MATCH(N$97,'Drop Point'!$B$13:$B$37,0),MATCH($Q67,'Drop Point'!$B$41:$M$41,0)),
IFERROR(INDEX('Control - Grain dscf'!$C$11:$N$27,MATCH(N$97,'Control - Grain dscf'!$B$11:$B$27,0),MATCH($Q67,'Control - Grain dscf'!$C$32:$N$32,0)),
IFERROR(INDEX('Control - Alt'!$C$9:$O$27,MATCH(N$97,'Control - Alt'!$B$9:$B$27,0),MATCH($Q67,'Control - Alt'!$C$32:$O$32,0)),
IFERROR(INDEX(Stockpile!$C$10:$M$26,MATCH(N$97,Stockpile!$B$10:$B$26,0),MATCH($Q67,Stockpile!$C$30:$M$30,0)),
IFERROR(INDEX('Asphalt Silo &amp; Unloading'!$D$10:$M$44,MATCH(N$97,'Asphalt Silo &amp; Unloading'!$B$10:$B$44,0),MATCH($Q67,'Asphalt Silo &amp; Unloading'!$D$49:$M$49,0)),""))))))</f>
        <v/>
      </c>
      <c r="O67" s="591" t="str">
        <f>IFERROR(INDEX('Material Handling'!$C$10:$AH$33,MATCH(O$97,Material_Handling[Data],0),MATCH($Q67,'Material Handling'!$C$40:$AH$40,0)), IFERROR(INDEX('Drop Point'!$B$13:$M$36,MATCH(O$97,'Drop Point'!$B$13:$B$37,0),MATCH($Q67,'Drop Point'!$B$41:$M$41,0)),
IFERROR(INDEX('Control - Grain dscf'!$C$11:$N$27,MATCH(O$97,'Control - Grain dscf'!$B$11:$B$27,0),MATCH($Q67,'Control - Grain dscf'!$C$32:$N$32,0)),
IFERROR(INDEX('Control - Alt'!$C$9:$O$27,MATCH(O$97,'Control - Alt'!$B$9:$B$27,0),MATCH($Q67,'Control - Alt'!$C$32:$O$32,0)),
IFERROR(INDEX(Stockpile!$C$10:$M$26,MATCH(O$97,Stockpile!$B$10:$B$26,0),MATCH($Q67,Stockpile!$C$30:$M$30,0)),
IFERROR(INDEX('Asphalt Silo &amp; Unloading'!$D$10:$M$44,MATCH(O$97,'Asphalt Silo &amp; Unloading'!$B$10:$B$44,0),MATCH($Q67,'Asphalt Silo &amp; Unloading'!$D$49:$M$49,0)),""))))))</f>
        <v/>
      </c>
      <c r="Q67" s="131">
        <f t="shared" si="1"/>
        <v>59</v>
      </c>
    </row>
    <row r="68" spans="1:17" ht="20.100000000000001" customHeight="1">
      <c r="A68" s="293" t="str">
        <f>IFERROR(INDEX('Material Handling'!$C$10:$AH$33,MATCH(A$97,Material_Handling[Data],0),MATCH($Q68,'Material Handling'!$C$40:$AH$40,0)), IFERROR(INDEX('Drop Point'!$B$13:$M$36,MATCH(A$97,'Drop Point'!$B$13:$B$37,0),MATCH($Q68,'Drop Point'!$B$41:$M$41,0)),
IFERROR(INDEX('Control - Grain dscf'!$C$11:$N$27,MATCH(A$97,'Control - Grain dscf'!$B$11:$B$27,0),MATCH($Q68,'Control - Grain dscf'!$C$32:$N$32,0)),
IFERROR(INDEX('Control - Alt'!$C$9:$O$27,MATCH(A$97,'Control - Alt'!$B$9:$B$27,0),MATCH($Q68,'Control - Alt'!$C$32:$O$32,0)),
IFERROR(INDEX(Stockpile!$C$10:$M$26,MATCH(A$97,Stockpile!$B$10:$B$26,0),MATCH($Q68,Stockpile!$C$30:$M$30,0)),
IFERROR(INDEX('Asphalt Silo &amp; Unloading'!$D$10:$M$44,MATCH(A$97,'Asphalt Silo &amp; Unloading'!$B$10:$B$44,0),MATCH($Q68,'Asphalt Silo &amp; Unloading'!$D$49:$M$49,0)),""))))))</f>
        <v/>
      </c>
      <c r="B68" s="135" t="str">
        <f>IFERROR(INDEX('Material Handling'!$C$10:$AH$33,MATCH(B$97,Material_Handling[Data],0),MATCH($Q68,'Material Handling'!$C$40:$AH$40,0)), IFERROR(INDEX('Drop Point'!$B$13:$M$36,MATCH(B$97,'Drop Point'!$B$13:$B$37,0),MATCH($Q68,'Drop Point'!$B$41:$M$41,0)),
IFERROR(INDEX('Control - Grain dscf'!$C$11:$N$27,MATCH(B$97,'Control - Grain dscf'!$B$11:$B$27,0),MATCH($Q68,'Control - Grain dscf'!$C$32:$N$32,0)),
IFERROR(INDEX('Control - Alt'!$C$9:$O$27,MATCH(B$97,'Control - Alt'!$B$9:$B$27,0),MATCH($Q68,'Control - Alt'!$C$32:$O$32,0)),
IFERROR(INDEX(Stockpile!$C$10:$M$26,MATCH(B$97,Stockpile!$B$10:$B$26,0),MATCH($Q68,Stockpile!$C$30:$M$30,0)),
IFERROR(INDEX('Asphalt Silo &amp; Unloading'!$D$10:$M$44,MATCH(B$97,'Asphalt Silo &amp; Unloading'!$B$10:$B$44,0),MATCH($Q68,'Asphalt Silo &amp; Unloading'!$D$49:$M$49,0)),""))))))</f>
        <v/>
      </c>
      <c r="C68" s="135" t="str">
        <f>IFERROR(INDEX('Material Handling'!$C$10:$AH$33,MATCH(C$97,Material_Handling[Data],0),MATCH($Q68,'Material Handling'!$C$40:$AH$40,0)), IFERROR(INDEX('Drop Point'!$B$13:$M$36,MATCH(C$97,'Drop Point'!$B$13:$B$37,0),MATCH($Q68,'Drop Point'!$B$41:$M$41,0)),
IFERROR(INDEX('Control - Grain dscf'!$C$11:$N$27,MATCH(C$97,'Control - Grain dscf'!$B$11:$B$27,0),MATCH($Q68,'Control - Grain dscf'!$C$32:$N$32,0)),
IFERROR(INDEX('Control - Alt'!$C$9:$O$27,MATCH(C$97,'Control - Alt'!$B$9:$B$27,0),MATCH($Q68,'Control - Alt'!$C$32:$O$32,0)),
IFERROR(INDEX(Stockpile!$C$10:$M$26,MATCH(C$97,Stockpile!$B$10:$B$26,0),MATCH($Q68,Stockpile!$C$30:$M$30,0)),
IFERROR(INDEX('Asphalt Silo &amp; Unloading'!$D$10:$M$44,MATCH(C$97,'Asphalt Silo &amp; Unloading'!$B$10:$B$44,0),MATCH($Q68,'Asphalt Silo &amp; Unloading'!$D$49:$M$49,0)),""))))))</f>
        <v/>
      </c>
      <c r="D68" s="135" t="str">
        <f>IFERROR(INDEX('Material Handling'!$C$10:$AH$33,MATCH(D$97,Material_Handling[Data],0),MATCH($Q68,'Material Handling'!$C$40:$AH$40,0)), IFERROR(INDEX('Drop Point'!$B$13:$M$36,MATCH(D$97,'Drop Point'!$B$13:$B$37,0),MATCH($Q68,'Drop Point'!$B$41:$M$41,0)),
IFERROR(INDEX('Control - Grain dscf'!$C$11:$N$27,MATCH(D$97,'Control - Grain dscf'!$B$11:$B$27,0),MATCH($Q68,'Control - Grain dscf'!$C$32:$N$32,0)),
IFERROR(INDEX('Control - Alt'!$C$9:$O$27,MATCH(D$97,'Control - Alt'!$B$9:$B$27,0),MATCH($Q68,'Control - Alt'!$C$32:$O$32,0)),
IFERROR(INDEX(Stockpile!$C$10:$M$26,MATCH(D$97,Stockpile!$B$10:$B$26,0),MATCH($Q68,Stockpile!$C$30:$M$30,0)),
IFERROR(INDEX('Asphalt Silo &amp; Unloading'!$D$10:$M$44,MATCH(D$97,'Asphalt Silo &amp; Unloading'!$B$10:$B$44,0),MATCH($Q68,'Asphalt Silo &amp; Unloading'!$D$49:$M$49,0)),""))))))</f>
        <v/>
      </c>
      <c r="E68" s="620" t="str">
        <f>IFERROR(INDEX('Material Handling'!$C$10:$AH$33,MATCH(E$97,Material_Handling[Data],0),MATCH($Q68,'Material Handling'!$C$40:$AH$40,0)), IFERROR(INDEX('Drop Point'!$B$13:$M$36,MATCH(E$97,'Drop Point'!$B$13:$B$37,0),MATCH($Q68,'Drop Point'!$B$41:$M$41,0)),
IFERROR(INDEX('Control - Grain dscf'!$C$11:$N$27,MATCH(E$97,'Control - Grain dscf'!$B$11:$B$27,0),MATCH($Q68,'Control - Grain dscf'!$C$32:$N$32,0)),
IFERROR(INDEX('Control - Alt'!$C$9:$O$27,MATCH(E$97,'Control - Alt'!$B$9:$B$27,0),MATCH($Q68,'Control - Alt'!$C$32:$O$32,0)),
IFERROR(INDEX(Stockpile!$C$10:$M$26,MATCH(E$97,Stockpile!$B$10:$B$26,0),MATCH($Q68,Stockpile!$C$30:$M$30,0)),
IFERROR(INDEX('Asphalt Silo &amp; Unloading'!$D$10:$M$44,MATCH(E$97,'Asphalt Silo &amp; Unloading'!$B$10:$B$44,0),MATCH($Q68,'Asphalt Silo &amp; Unloading'!$D$49:$M$49,0)),""))))))</f>
        <v/>
      </c>
      <c r="F68" s="590" t="str">
        <f>IFERROR(INDEX('Material Handling'!$C$10:$AH$33,MATCH(F$97,Material_Handling[Data],0),MATCH($Q68,'Material Handling'!$C$40:$AH$40,0)), IFERROR(INDEX('Drop Point'!$B$13:$M$36,MATCH(F$97,'Drop Point'!$B$13:$B$37,0),MATCH($Q68,'Drop Point'!$B$41:$M$41,0)),
IFERROR(INDEX('Control - Grain dscf'!$C$11:$N$27,MATCH(F$97,'Control - Grain dscf'!$B$11:$B$27,0),MATCH($Q68,'Control - Grain dscf'!$C$32:$N$32,0)),
IFERROR(INDEX('Control - Alt'!$C$9:$O$27,MATCH(F$97,'Control - Alt'!$B$9:$B$27,0),MATCH($Q68,'Control - Alt'!$C$32:$O$32,0)),
IFERROR(INDEX(Stockpile!$C$10:$M$26,MATCH(F$97,Stockpile!$B$10:$B$26,0),MATCH($Q68,Stockpile!$C$30:$M$30,0)),
IFERROR(INDEX('Asphalt Silo &amp; Unloading'!$D$10:$M$44,MATCH(F$97,'Asphalt Silo &amp; Unloading'!$B$10:$B$44,0),MATCH($Q68,'Asphalt Silo &amp; Unloading'!$D$49:$M$49,0)),""))))))</f>
        <v/>
      </c>
      <c r="G68" s="590" t="str">
        <f>IFERROR(INDEX('Material Handling'!$C$10:$AH$33,MATCH(G$97,Material_Handling[Data],0),MATCH($Q68,'Material Handling'!$C$40:$AH$40,0)), IFERROR(INDEX('Drop Point'!$B$13:$M$36,MATCH(G$97,'Drop Point'!$B$13:$B$37,0),MATCH($Q68,'Drop Point'!$B$41:$M$41,0)),
IFERROR(INDEX('Control - Grain dscf'!$C$11:$N$27,MATCH(G$97,'Control - Grain dscf'!$B$11:$B$27,0),MATCH($Q68,'Control - Grain dscf'!$C$32:$N$32,0)),
IFERROR(INDEX('Control - Alt'!$C$9:$O$27,MATCH(G$97,'Control - Alt'!$B$9:$B$27,0),MATCH($Q68,'Control - Alt'!$C$32:$O$32,0)),
IFERROR(INDEX(Stockpile!$C$10:$M$26,MATCH(G$97,Stockpile!$B$10:$B$26,0),MATCH($Q68,Stockpile!$C$30:$M$30,0)),
IFERROR(INDEX('Asphalt Silo &amp; Unloading'!$D$10:$M$44,MATCH(G$97,'Asphalt Silo &amp; Unloading'!$B$10:$B$44,0),MATCH($Q68,'Asphalt Silo &amp; Unloading'!$D$49:$M$49,0)),""))))))</f>
        <v/>
      </c>
      <c r="H68" s="590" t="str">
        <f>IFERROR(INDEX('Material Handling'!$C$10:$AH$33,MATCH(H$97,Material_Handling[Data],0),MATCH($Q68,'Material Handling'!$C$40:$AH$40,0)), IFERROR(INDEX('Drop Point'!$B$13:$M$36,MATCH(H$97,'Drop Point'!$B$13:$B$37,0),MATCH($Q68,'Drop Point'!$B$41:$M$41,0)),
IFERROR(INDEX('Control - Grain dscf'!$C$11:$N$27,MATCH(H$97,'Control - Grain dscf'!$B$11:$B$27,0),MATCH($Q68,'Control - Grain dscf'!$C$32:$N$32,0)),
IFERROR(INDEX('Control - Alt'!$C$9:$O$27,MATCH(H$97,'Control - Alt'!$B$9:$B$27,0),MATCH($Q68,'Control - Alt'!$C$32:$O$32,0)),
IFERROR(INDEX(Stockpile!$C$10:$M$26,MATCH(H$97,Stockpile!$B$10:$B$26,0),MATCH($Q68,Stockpile!$C$30:$M$30,0)),
IFERROR(INDEX('Asphalt Silo &amp; Unloading'!$D$10:$M$44,MATCH(H$97,'Asphalt Silo &amp; Unloading'!$B$10:$B$44,0),MATCH($Q68,'Asphalt Silo &amp; Unloading'!$D$49:$M$49,0)),""))))))</f>
        <v/>
      </c>
      <c r="I68" s="590" t="str">
        <f>IFERROR(INDEX('Material Handling'!$C$10:$AH$33,MATCH(I$97,Material_Handling[Data],0),MATCH($Q68,'Material Handling'!$C$40:$AH$40,0)), IFERROR(INDEX('Drop Point'!$B$13:$M$36,MATCH(I$97,'Drop Point'!$B$13:$B$37,0),MATCH($Q68,'Drop Point'!$B$41:$M$41,0)),
IFERROR(INDEX('Control - Grain dscf'!$C$11:$N$27,MATCH(I$97,'Control - Grain dscf'!$B$11:$B$27,0),MATCH($Q68,'Control - Grain dscf'!$C$32:$N$32,0)),
IFERROR(INDEX('Control - Alt'!$C$9:$O$27,MATCH(I$97,'Control - Alt'!$B$9:$B$27,0),MATCH($Q68,'Control - Alt'!$C$32:$O$32,0)),
IFERROR(INDEX(Stockpile!$C$10:$M$26,MATCH(I$97,Stockpile!$B$10:$B$26,0),MATCH($Q68,Stockpile!$C$30:$M$30,0)),
IFERROR(INDEX('Asphalt Silo &amp; Unloading'!$D$10:$M$44,MATCH(I$97,'Asphalt Silo &amp; Unloading'!$B$10:$B$44,0),MATCH($Q68,'Asphalt Silo &amp; Unloading'!$D$49:$M$49,0)),""))))))</f>
        <v/>
      </c>
      <c r="J68" s="590" t="str">
        <f>IFERROR(INDEX('Material Handling'!$C$10:$AH$33,MATCH(J$97,Material_Handling[Data],0),MATCH($Q68,'Material Handling'!$C$40:$AH$40,0)), IFERROR(INDEX('Drop Point'!$B$13:$M$36,MATCH(J$97,'Drop Point'!$B$13:$B$37,0),MATCH($Q68,'Drop Point'!$B$41:$M$41,0)),
IFERROR(INDEX('Control - Grain dscf'!$C$11:$N$27,MATCH(J$97,'Control - Grain dscf'!$B$11:$B$27,0),MATCH($Q68,'Control - Grain dscf'!$C$32:$N$32,0)),
IFERROR(INDEX('Control - Alt'!$C$9:$O$27,MATCH(J$97,'Control - Alt'!$B$9:$B$27,0),MATCH($Q68,'Control - Alt'!$C$32:$O$32,0)),
IFERROR(INDEX(Stockpile!$C$10:$M$26,MATCH(J$97,Stockpile!$B$10:$B$26,0),MATCH($Q68,Stockpile!$C$30:$M$30,0)),
IFERROR(INDEX('Asphalt Silo &amp; Unloading'!$D$10:$M$44,MATCH(J$97,'Asphalt Silo &amp; Unloading'!$B$10:$B$44,0),MATCH($Q68,'Asphalt Silo &amp; Unloading'!$D$49:$M$49,0)),""))))))</f>
        <v/>
      </c>
      <c r="K68" s="590" t="str">
        <f>IFERROR(INDEX('Material Handling'!$C$10:$AH$33,MATCH(K$97,Material_Handling[Data],0),MATCH($Q68,'Material Handling'!$C$40:$AH$40,0)), IFERROR(INDEX('Drop Point'!$B$13:$M$36,MATCH(K$97,'Drop Point'!$B$13:$B$37,0),MATCH($Q68,'Drop Point'!$B$41:$M$41,0)),
IFERROR(INDEX('Control - Grain dscf'!$C$11:$N$27,MATCH(K$97,'Control - Grain dscf'!$B$11:$B$27,0),MATCH($Q68,'Control - Grain dscf'!$C$32:$N$32,0)),
IFERROR(INDEX('Control - Alt'!$C$9:$O$27,MATCH(K$97,'Control - Alt'!$B$9:$B$27,0),MATCH($Q68,'Control - Alt'!$C$32:$O$32,0)),
IFERROR(INDEX(Stockpile!$C$10:$M$26,MATCH(K$97,Stockpile!$B$10:$B$26,0),MATCH($Q68,Stockpile!$C$30:$M$30,0)),
IFERROR(INDEX('Asphalt Silo &amp; Unloading'!$D$10:$M$44,MATCH(K$97,'Asphalt Silo &amp; Unloading'!$B$10:$B$44,0),MATCH($Q68,'Asphalt Silo &amp; Unloading'!$D$49:$M$49,0)),""))))))</f>
        <v/>
      </c>
      <c r="L68" s="590" t="str">
        <f>IFERROR(INDEX('Material Handling'!$C$10:$AH$33,MATCH(L$97,Material_Handling[Data],0),MATCH($Q68,'Material Handling'!$C$40:$AH$40,0)), IFERROR(INDEX('Drop Point'!$B$13:$M$36,MATCH(L$97,'Drop Point'!$B$13:$B$37,0),MATCH($Q68,'Drop Point'!$B$41:$M$41,0)),
IFERROR(INDEX('Control - Grain dscf'!$C$11:$N$27,MATCH(L$97,'Control - Grain dscf'!$B$11:$B$27,0),MATCH($Q68,'Control - Grain dscf'!$C$32:$N$32,0)),
IFERROR(INDEX('Control - Alt'!$C$9:$O$27,MATCH(L$97,'Control - Alt'!$B$9:$B$27,0),MATCH($Q68,'Control - Alt'!$C$32:$O$32,0)),
IFERROR(INDEX(Stockpile!$C$10:$M$26,MATCH(L$97,Stockpile!$B$10:$B$26,0),MATCH($Q68,Stockpile!$C$30:$M$30,0)),
IFERROR(INDEX('Asphalt Silo &amp; Unloading'!$D$10:$M$44,MATCH(L$97,'Asphalt Silo &amp; Unloading'!$B$10:$B$44,0),MATCH($Q68,'Asphalt Silo &amp; Unloading'!$D$49:$M$49,0)),""))))))</f>
        <v/>
      </c>
      <c r="M68" s="590" t="str">
        <f>IFERROR(INDEX('Material Handling'!$C$10:$AH$33,MATCH(M$97,Material_Handling[Data],0),MATCH($Q68,'Material Handling'!$C$40:$AH$40,0)), IFERROR(INDEX('Drop Point'!$B$13:$M$36,MATCH(M$97,'Drop Point'!$B$13:$B$37,0),MATCH($Q68,'Drop Point'!$B$41:$M$41,0)),
IFERROR(INDEX('Control - Grain dscf'!$C$11:$N$27,MATCH(M$97,'Control - Grain dscf'!$B$11:$B$27,0),MATCH($Q68,'Control - Grain dscf'!$C$32:$N$32,0)),
IFERROR(INDEX('Control - Alt'!$C$9:$O$27,MATCH(M$97,'Control - Alt'!$B$9:$B$27,0),MATCH($Q68,'Control - Alt'!$C$32:$O$32,0)),
IFERROR(INDEX(Stockpile!$C$10:$M$26,MATCH(M$97,Stockpile!$B$10:$B$26,0),MATCH($Q68,Stockpile!$C$30:$M$30,0)),
IFERROR(INDEX('Asphalt Silo &amp; Unloading'!$D$10:$M$44,MATCH(M$97,'Asphalt Silo &amp; Unloading'!$B$10:$B$44,0),MATCH($Q68,'Asphalt Silo &amp; Unloading'!$D$49:$M$49,0)),""))))))</f>
        <v/>
      </c>
      <c r="N68" s="590" t="str">
        <f>IFERROR(INDEX('Material Handling'!$C$10:$AH$33,MATCH(N$97,Material_Handling[Data],0),MATCH($Q68,'Material Handling'!$C$40:$AH$40,0)), IFERROR(INDEX('Drop Point'!$B$13:$M$36,MATCH(N$97,'Drop Point'!$B$13:$B$37,0),MATCH($Q68,'Drop Point'!$B$41:$M$41,0)),
IFERROR(INDEX('Control - Grain dscf'!$C$11:$N$27,MATCH(N$97,'Control - Grain dscf'!$B$11:$B$27,0),MATCH($Q68,'Control - Grain dscf'!$C$32:$N$32,0)),
IFERROR(INDEX('Control - Alt'!$C$9:$O$27,MATCH(N$97,'Control - Alt'!$B$9:$B$27,0),MATCH($Q68,'Control - Alt'!$C$32:$O$32,0)),
IFERROR(INDEX(Stockpile!$C$10:$M$26,MATCH(N$97,Stockpile!$B$10:$B$26,0),MATCH($Q68,Stockpile!$C$30:$M$30,0)),
IFERROR(INDEX('Asphalt Silo &amp; Unloading'!$D$10:$M$44,MATCH(N$97,'Asphalt Silo &amp; Unloading'!$B$10:$B$44,0),MATCH($Q68,'Asphalt Silo &amp; Unloading'!$D$49:$M$49,0)),""))))))</f>
        <v/>
      </c>
      <c r="O68" s="591" t="str">
        <f>IFERROR(INDEX('Material Handling'!$C$10:$AH$33,MATCH(O$97,Material_Handling[Data],0),MATCH($Q68,'Material Handling'!$C$40:$AH$40,0)), IFERROR(INDEX('Drop Point'!$B$13:$M$36,MATCH(O$97,'Drop Point'!$B$13:$B$37,0),MATCH($Q68,'Drop Point'!$B$41:$M$41,0)),
IFERROR(INDEX('Control - Grain dscf'!$C$11:$N$27,MATCH(O$97,'Control - Grain dscf'!$B$11:$B$27,0),MATCH($Q68,'Control - Grain dscf'!$C$32:$N$32,0)),
IFERROR(INDEX('Control - Alt'!$C$9:$O$27,MATCH(O$97,'Control - Alt'!$B$9:$B$27,0),MATCH($Q68,'Control - Alt'!$C$32:$O$32,0)),
IFERROR(INDEX(Stockpile!$C$10:$M$26,MATCH(O$97,Stockpile!$B$10:$B$26,0),MATCH($Q68,Stockpile!$C$30:$M$30,0)),
IFERROR(INDEX('Asphalt Silo &amp; Unloading'!$D$10:$M$44,MATCH(O$97,'Asphalt Silo &amp; Unloading'!$B$10:$B$44,0),MATCH($Q68,'Asphalt Silo &amp; Unloading'!$D$49:$M$49,0)),""))))))</f>
        <v/>
      </c>
      <c r="Q68" s="131">
        <f t="shared" si="1"/>
        <v>60</v>
      </c>
    </row>
    <row r="69" spans="1:17" ht="20.100000000000001" customHeight="1">
      <c r="A69" s="293" t="str">
        <f>IFERROR(INDEX('Material Handling'!$C$10:$AH$33,MATCH(A$97,Material_Handling[Data],0),MATCH($Q69,'Material Handling'!$C$40:$AH$40,0)), IFERROR(INDEX('Drop Point'!$B$13:$M$36,MATCH(A$97,'Drop Point'!$B$13:$B$37,0),MATCH($Q69,'Drop Point'!$B$41:$M$41,0)),
IFERROR(INDEX('Control - Grain dscf'!$C$11:$N$27,MATCH(A$97,'Control - Grain dscf'!$B$11:$B$27,0),MATCH($Q69,'Control - Grain dscf'!$C$32:$N$32,0)),
IFERROR(INDEX('Control - Alt'!$C$9:$O$27,MATCH(A$97,'Control - Alt'!$B$9:$B$27,0),MATCH($Q69,'Control - Alt'!$C$32:$O$32,0)),
IFERROR(INDEX(Stockpile!$C$10:$M$26,MATCH(A$97,Stockpile!$B$10:$B$26,0),MATCH($Q69,Stockpile!$C$30:$M$30,0)),
IFERROR(INDEX('Asphalt Silo &amp; Unloading'!$D$10:$M$44,MATCH(A$97,'Asphalt Silo &amp; Unloading'!$B$10:$B$44,0),MATCH($Q69,'Asphalt Silo &amp; Unloading'!$D$49:$M$49,0)),""))))))</f>
        <v/>
      </c>
      <c r="B69" s="135" t="str">
        <f>IFERROR(INDEX('Material Handling'!$C$10:$AH$33,MATCH(B$97,Material_Handling[Data],0),MATCH($Q69,'Material Handling'!$C$40:$AH$40,0)), IFERROR(INDEX('Drop Point'!$B$13:$M$36,MATCH(B$97,'Drop Point'!$B$13:$B$37,0),MATCH($Q69,'Drop Point'!$B$41:$M$41,0)),
IFERROR(INDEX('Control - Grain dscf'!$C$11:$N$27,MATCH(B$97,'Control - Grain dscf'!$B$11:$B$27,0),MATCH($Q69,'Control - Grain dscf'!$C$32:$N$32,0)),
IFERROR(INDEX('Control - Alt'!$C$9:$O$27,MATCH(B$97,'Control - Alt'!$B$9:$B$27,0),MATCH($Q69,'Control - Alt'!$C$32:$O$32,0)),
IFERROR(INDEX(Stockpile!$C$10:$M$26,MATCH(B$97,Stockpile!$B$10:$B$26,0),MATCH($Q69,Stockpile!$C$30:$M$30,0)),
IFERROR(INDEX('Asphalt Silo &amp; Unloading'!$D$10:$M$44,MATCH(B$97,'Asphalt Silo &amp; Unloading'!$B$10:$B$44,0),MATCH($Q69,'Asphalt Silo &amp; Unloading'!$D$49:$M$49,0)),""))))))</f>
        <v/>
      </c>
      <c r="C69" s="135" t="str">
        <f>IFERROR(INDEX('Material Handling'!$C$10:$AH$33,MATCH(C$97,Material_Handling[Data],0),MATCH($Q69,'Material Handling'!$C$40:$AH$40,0)), IFERROR(INDEX('Drop Point'!$B$13:$M$36,MATCH(C$97,'Drop Point'!$B$13:$B$37,0),MATCH($Q69,'Drop Point'!$B$41:$M$41,0)),
IFERROR(INDEX('Control - Grain dscf'!$C$11:$N$27,MATCH(C$97,'Control - Grain dscf'!$B$11:$B$27,0),MATCH($Q69,'Control - Grain dscf'!$C$32:$N$32,0)),
IFERROR(INDEX('Control - Alt'!$C$9:$O$27,MATCH(C$97,'Control - Alt'!$B$9:$B$27,0),MATCH($Q69,'Control - Alt'!$C$32:$O$32,0)),
IFERROR(INDEX(Stockpile!$C$10:$M$26,MATCH(C$97,Stockpile!$B$10:$B$26,0),MATCH($Q69,Stockpile!$C$30:$M$30,0)),
IFERROR(INDEX('Asphalt Silo &amp; Unloading'!$D$10:$M$44,MATCH(C$97,'Asphalt Silo &amp; Unloading'!$B$10:$B$44,0),MATCH($Q69,'Asphalt Silo &amp; Unloading'!$D$49:$M$49,0)),""))))))</f>
        <v/>
      </c>
      <c r="D69" s="135" t="str">
        <f>IFERROR(INDEX('Material Handling'!$C$10:$AH$33,MATCH(D$97,Material_Handling[Data],0),MATCH($Q69,'Material Handling'!$C$40:$AH$40,0)), IFERROR(INDEX('Drop Point'!$B$13:$M$36,MATCH(D$97,'Drop Point'!$B$13:$B$37,0),MATCH($Q69,'Drop Point'!$B$41:$M$41,0)),
IFERROR(INDEX('Control - Grain dscf'!$C$11:$N$27,MATCH(D$97,'Control - Grain dscf'!$B$11:$B$27,0),MATCH($Q69,'Control - Grain dscf'!$C$32:$N$32,0)),
IFERROR(INDEX('Control - Alt'!$C$9:$O$27,MATCH(D$97,'Control - Alt'!$B$9:$B$27,0),MATCH($Q69,'Control - Alt'!$C$32:$O$32,0)),
IFERROR(INDEX(Stockpile!$C$10:$M$26,MATCH(D$97,Stockpile!$B$10:$B$26,0),MATCH($Q69,Stockpile!$C$30:$M$30,0)),
IFERROR(INDEX('Asphalt Silo &amp; Unloading'!$D$10:$M$44,MATCH(D$97,'Asphalt Silo &amp; Unloading'!$B$10:$B$44,0),MATCH($Q69,'Asphalt Silo &amp; Unloading'!$D$49:$M$49,0)),""))))))</f>
        <v/>
      </c>
      <c r="E69" s="620" t="str">
        <f>IFERROR(INDEX('Material Handling'!$C$10:$AH$33,MATCH(E$97,Material_Handling[Data],0),MATCH($Q69,'Material Handling'!$C$40:$AH$40,0)), IFERROR(INDEX('Drop Point'!$B$13:$M$36,MATCH(E$97,'Drop Point'!$B$13:$B$37,0),MATCH($Q69,'Drop Point'!$B$41:$M$41,0)),
IFERROR(INDEX('Control - Grain dscf'!$C$11:$N$27,MATCH(E$97,'Control - Grain dscf'!$B$11:$B$27,0),MATCH($Q69,'Control - Grain dscf'!$C$32:$N$32,0)),
IFERROR(INDEX('Control - Alt'!$C$9:$O$27,MATCH(E$97,'Control - Alt'!$B$9:$B$27,0),MATCH($Q69,'Control - Alt'!$C$32:$O$32,0)),
IFERROR(INDEX(Stockpile!$C$10:$M$26,MATCH(E$97,Stockpile!$B$10:$B$26,0),MATCH($Q69,Stockpile!$C$30:$M$30,0)),
IFERROR(INDEX('Asphalt Silo &amp; Unloading'!$D$10:$M$44,MATCH(E$97,'Asphalt Silo &amp; Unloading'!$B$10:$B$44,0),MATCH($Q69,'Asphalt Silo &amp; Unloading'!$D$49:$M$49,0)),""))))))</f>
        <v/>
      </c>
      <c r="F69" s="590" t="str">
        <f>IFERROR(INDEX('Material Handling'!$C$10:$AH$33,MATCH(F$97,Material_Handling[Data],0),MATCH($Q69,'Material Handling'!$C$40:$AH$40,0)), IFERROR(INDEX('Drop Point'!$B$13:$M$36,MATCH(F$97,'Drop Point'!$B$13:$B$37,0),MATCH($Q69,'Drop Point'!$B$41:$M$41,0)),
IFERROR(INDEX('Control - Grain dscf'!$C$11:$N$27,MATCH(F$97,'Control - Grain dscf'!$B$11:$B$27,0),MATCH($Q69,'Control - Grain dscf'!$C$32:$N$32,0)),
IFERROR(INDEX('Control - Alt'!$C$9:$O$27,MATCH(F$97,'Control - Alt'!$B$9:$B$27,0),MATCH($Q69,'Control - Alt'!$C$32:$O$32,0)),
IFERROR(INDEX(Stockpile!$C$10:$M$26,MATCH(F$97,Stockpile!$B$10:$B$26,0),MATCH($Q69,Stockpile!$C$30:$M$30,0)),
IFERROR(INDEX('Asphalt Silo &amp; Unloading'!$D$10:$M$44,MATCH(F$97,'Asphalt Silo &amp; Unloading'!$B$10:$B$44,0),MATCH($Q69,'Asphalt Silo &amp; Unloading'!$D$49:$M$49,0)),""))))))</f>
        <v/>
      </c>
      <c r="G69" s="590" t="str">
        <f>IFERROR(INDEX('Material Handling'!$C$10:$AH$33,MATCH(G$97,Material_Handling[Data],0),MATCH($Q69,'Material Handling'!$C$40:$AH$40,0)), IFERROR(INDEX('Drop Point'!$B$13:$M$36,MATCH(G$97,'Drop Point'!$B$13:$B$37,0),MATCH($Q69,'Drop Point'!$B$41:$M$41,0)),
IFERROR(INDEX('Control - Grain dscf'!$C$11:$N$27,MATCH(G$97,'Control - Grain dscf'!$B$11:$B$27,0),MATCH($Q69,'Control - Grain dscf'!$C$32:$N$32,0)),
IFERROR(INDEX('Control - Alt'!$C$9:$O$27,MATCH(G$97,'Control - Alt'!$B$9:$B$27,0),MATCH($Q69,'Control - Alt'!$C$32:$O$32,0)),
IFERROR(INDEX(Stockpile!$C$10:$M$26,MATCH(G$97,Stockpile!$B$10:$B$26,0),MATCH($Q69,Stockpile!$C$30:$M$30,0)),
IFERROR(INDEX('Asphalt Silo &amp; Unloading'!$D$10:$M$44,MATCH(G$97,'Asphalt Silo &amp; Unloading'!$B$10:$B$44,0),MATCH($Q69,'Asphalt Silo &amp; Unloading'!$D$49:$M$49,0)),""))))))</f>
        <v/>
      </c>
      <c r="H69" s="590" t="str">
        <f>IFERROR(INDEX('Material Handling'!$C$10:$AH$33,MATCH(H$97,Material_Handling[Data],0),MATCH($Q69,'Material Handling'!$C$40:$AH$40,0)), IFERROR(INDEX('Drop Point'!$B$13:$M$36,MATCH(H$97,'Drop Point'!$B$13:$B$37,0),MATCH($Q69,'Drop Point'!$B$41:$M$41,0)),
IFERROR(INDEX('Control - Grain dscf'!$C$11:$N$27,MATCH(H$97,'Control - Grain dscf'!$B$11:$B$27,0),MATCH($Q69,'Control - Grain dscf'!$C$32:$N$32,0)),
IFERROR(INDEX('Control - Alt'!$C$9:$O$27,MATCH(H$97,'Control - Alt'!$B$9:$B$27,0),MATCH($Q69,'Control - Alt'!$C$32:$O$32,0)),
IFERROR(INDEX(Stockpile!$C$10:$M$26,MATCH(H$97,Stockpile!$B$10:$B$26,0),MATCH($Q69,Stockpile!$C$30:$M$30,0)),
IFERROR(INDEX('Asphalt Silo &amp; Unloading'!$D$10:$M$44,MATCH(H$97,'Asphalt Silo &amp; Unloading'!$B$10:$B$44,0),MATCH($Q69,'Asphalt Silo &amp; Unloading'!$D$49:$M$49,0)),""))))))</f>
        <v/>
      </c>
      <c r="I69" s="590" t="str">
        <f>IFERROR(INDEX('Material Handling'!$C$10:$AH$33,MATCH(I$97,Material_Handling[Data],0),MATCH($Q69,'Material Handling'!$C$40:$AH$40,0)), IFERROR(INDEX('Drop Point'!$B$13:$M$36,MATCH(I$97,'Drop Point'!$B$13:$B$37,0),MATCH($Q69,'Drop Point'!$B$41:$M$41,0)),
IFERROR(INDEX('Control - Grain dscf'!$C$11:$N$27,MATCH(I$97,'Control - Grain dscf'!$B$11:$B$27,0),MATCH($Q69,'Control - Grain dscf'!$C$32:$N$32,0)),
IFERROR(INDEX('Control - Alt'!$C$9:$O$27,MATCH(I$97,'Control - Alt'!$B$9:$B$27,0),MATCH($Q69,'Control - Alt'!$C$32:$O$32,0)),
IFERROR(INDEX(Stockpile!$C$10:$M$26,MATCH(I$97,Stockpile!$B$10:$B$26,0),MATCH($Q69,Stockpile!$C$30:$M$30,0)),
IFERROR(INDEX('Asphalt Silo &amp; Unloading'!$D$10:$M$44,MATCH(I$97,'Asphalt Silo &amp; Unloading'!$B$10:$B$44,0),MATCH($Q69,'Asphalt Silo &amp; Unloading'!$D$49:$M$49,0)),""))))))</f>
        <v/>
      </c>
      <c r="J69" s="590" t="str">
        <f>IFERROR(INDEX('Material Handling'!$C$10:$AH$33,MATCH(J$97,Material_Handling[Data],0),MATCH($Q69,'Material Handling'!$C$40:$AH$40,0)), IFERROR(INDEX('Drop Point'!$B$13:$M$36,MATCH(J$97,'Drop Point'!$B$13:$B$37,0),MATCH($Q69,'Drop Point'!$B$41:$M$41,0)),
IFERROR(INDEX('Control - Grain dscf'!$C$11:$N$27,MATCH(J$97,'Control - Grain dscf'!$B$11:$B$27,0),MATCH($Q69,'Control - Grain dscf'!$C$32:$N$32,0)),
IFERROR(INDEX('Control - Alt'!$C$9:$O$27,MATCH(J$97,'Control - Alt'!$B$9:$B$27,0),MATCH($Q69,'Control - Alt'!$C$32:$O$32,0)),
IFERROR(INDEX(Stockpile!$C$10:$M$26,MATCH(J$97,Stockpile!$B$10:$B$26,0),MATCH($Q69,Stockpile!$C$30:$M$30,0)),
IFERROR(INDEX('Asphalt Silo &amp; Unloading'!$D$10:$M$44,MATCH(J$97,'Asphalt Silo &amp; Unloading'!$B$10:$B$44,0),MATCH($Q69,'Asphalt Silo &amp; Unloading'!$D$49:$M$49,0)),""))))))</f>
        <v/>
      </c>
      <c r="K69" s="590" t="str">
        <f>IFERROR(INDEX('Material Handling'!$C$10:$AH$33,MATCH(K$97,Material_Handling[Data],0),MATCH($Q69,'Material Handling'!$C$40:$AH$40,0)), IFERROR(INDEX('Drop Point'!$B$13:$M$36,MATCH(K$97,'Drop Point'!$B$13:$B$37,0),MATCH($Q69,'Drop Point'!$B$41:$M$41,0)),
IFERROR(INDEX('Control - Grain dscf'!$C$11:$N$27,MATCH(K$97,'Control - Grain dscf'!$B$11:$B$27,0),MATCH($Q69,'Control - Grain dscf'!$C$32:$N$32,0)),
IFERROR(INDEX('Control - Alt'!$C$9:$O$27,MATCH(K$97,'Control - Alt'!$B$9:$B$27,0),MATCH($Q69,'Control - Alt'!$C$32:$O$32,0)),
IFERROR(INDEX(Stockpile!$C$10:$M$26,MATCH(K$97,Stockpile!$B$10:$B$26,0),MATCH($Q69,Stockpile!$C$30:$M$30,0)),
IFERROR(INDEX('Asphalt Silo &amp; Unloading'!$D$10:$M$44,MATCH(K$97,'Asphalt Silo &amp; Unloading'!$B$10:$B$44,0),MATCH($Q69,'Asphalt Silo &amp; Unloading'!$D$49:$M$49,0)),""))))))</f>
        <v/>
      </c>
      <c r="L69" s="590" t="str">
        <f>IFERROR(INDEX('Material Handling'!$C$10:$AH$33,MATCH(L$97,Material_Handling[Data],0),MATCH($Q69,'Material Handling'!$C$40:$AH$40,0)), IFERROR(INDEX('Drop Point'!$B$13:$M$36,MATCH(L$97,'Drop Point'!$B$13:$B$37,0),MATCH($Q69,'Drop Point'!$B$41:$M$41,0)),
IFERROR(INDEX('Control - Grain dscf'!$C$11:$N$27,MATCH(L$97,'Control - Grain dscf'!$B$11:$B$27,0),MATCH($Q69,'Control - Grain dscf'!$C$32:$N$32,0)),
IFERROR(INDEX('Control - Alt'!$C$9:$O$27,MATCH(L$97,'Control - Alt'!$B$9:$B$27,0),MATCH($Q69,'Control - Alt'!$C$32:$O$32,0)),
IFERROR(INDEX(Stockpile!$C$10:$M$26,MATCH(L$97,Stockpile!$B$10:$B$26,0),MATCH($Q69,Stockpile!$C$30:$M$30,0)),
IFERROR(INDEX('Asphalt Silo &amp; Unloading'!$D$10:$M$44,MATCH(L$97,'Asphalt Silo &amp; Unloading'!$B$10:$B$44,0),MATCH($Q69,'Asphalt Silo &amp; Unloading'!$D$49:$M$49,0)),""))))))</f>
        <v/>
      </c>
      <c r="M69" s="590" t="str">
        <f>IFERROR(INDEX('Material Handling'!$C$10:$AH$33,MATCH(M$97,Material_Handling[Data],0),MATCH($Q69,'Material Handling'!$C$40:$AH$40,0)), IFERROR(INDEX('Drop Point'!$B$13:$M$36,MATCH(M$97,'Drop Point'!$B$13:$B$37,0),MATCH($Q69,'Drop Point'!$B$41:$M$41,0)),
IFERROR(INDEX('Control - Grain dscf'!$C$11:$N$27,MATCH(M$97,'Control - Grain dscf'!$B$11:$B$27,0),MATCH($Q69,'Control - Grain dscf'!$C$32:$N$32,0)),
IFERROR(INDEX('Control - Alt'!$C$9:$O$27,MATCH(M$97,'Control - Alt'!$B$9:$B$27,0),MATCH($Q69,'Control - Alt'!$C$32:$O$32,0)),
IFERROR(INDEX(Stockpile!$C$10:$M$26,MATCH(M$97,Stockpile!$B$10:$B$26,0),MATCH($Q69,Stockpile!$C$30:$M$30,0)),
IFERROR(INDEX('Asphalt Silo &amp; Unloading'!$D$10:$M$44,MATCH(M$97,'Asphalt Silo &amp; Unloading'!$B$10:$B$44,0),MATCH($Q69,'Asphalt Silo &amp; Unloading'!$D$49:$M$49,0)),""))))))</f>
        <v/>
      </c>
      <c r="N69" s="590" t="str">
        <f>IFERROR(INDEX('Material Handling'!$C$10:$AH$33,MATCH(N$97,Material_Handling[Data],0),MATCH($Q69,'Material Handling'!$C$40:$AH$40,0)), IFERROR(INDEX('Drop Point'!$B$13:$M$36,MATCH(N$97,'Drop Point'!$B$13:$B$37,0),MATCH($Q69,'Drop Point'!$B$41:$M$41,0)),
IFERROR(INDEX('Control - Grain dscf'!$C$11:$N$27,MATCH(N$97,'Control - Grain dscf'!$B$11:$B$27,0),MATCH($Q69,'Control - Grain dscf'!$C$32:$N$32,0)),
IFERROR(INDEX('Control - Alt'!$C$9:$O$27,MATCH(N$97,'Control - Alt'!$B$9:$B$27,0),MATCH($Q69,'Control - Alt'!$C$32:$O$32,0)),
IFERROR(INDEX(Stockpile!$C$10:$M$26,MATCH(N$97,Stockpile!$B$10:$B$26,0),MATCH($Q69,Stockpile!$C$30:$M$30,0)),
IFERROR(INDEX('Asphalt Silo &amp; Unloading'!$D$10:$M$44,MATCH(N$97,'Asphalt Silo &amp; Unloading'!$B$10:$B$44,0),MATCH($Q69,'Asphalt Silo &amp; Unloading'!$D$49:$M$49,0)),""))))))</f>
        <v/>
      </c>
      <c r="O69" s="591" t="str">
        <f>IFERROR(INDEX('Material Handling'!$C$10:$AH$33,MATCH(O$97,Material_Handling[Data],0),MATCH($Q69,'Material Handling'!$C$40:$AH$40,0)), IFERROR(INDEX('Drop Point'!$B$13:$M$36,MATCH(O$97,'Drop Point'!$B$13:$B$37,0),MATCH($Q69,'Drop Point'!$B$41:$M$41,0)),
IFERROR(INDEX('Control - Grain dscf'!$C$11:$N$27,MATCH(O$97,'Control - Grain dscf'!$B$11:$B$27,0),MATCH($Q69,'Control - Grain dscf'!$C$32:$N$32,0)),
IFERROR(INDEX('Control - Alt'!$C$9:$O$27,MATCH(O$97,'Control - Alt'!$B$9:$B$27,0),MATCH($Q69,'Control - Alt'!$C$32:$O$32,0)),
IFERROR(INDEX(Stockpile!$C$10:$M$26,MATCH(O$97,Stockpile!$B$10:$B$26,0),MATCH($Q69,Stockpile!$C$30:$M$30,0)),
IFERROR(INDEX('Asphalt Silo &amp; Unloading'!$D$10:$M$44,MATCH(O$97,'Asphalt Silo &amp; Unloading'!$B$10:$B$44,0),MATCH($Q69,'Asphalt Silo &amp; Unloading'!$D$49:$M$49,0)),""))))))</f>
        <v/>
      </c>
      <c r="Q69" s="131">
        <f t="shared" si="1"/>
        <v>61</v>
      </c>
    </row>
    <row r="70" spans="1:17" ht="20.100000000000001" customHeight="1">
      <c r="A70" s="293" t="str">
        <f>IFERROR(INDEX('Material Handling'!$C$10:$AH$33,MATCH(A$97,Material_Handling[Data],0),MATCH($Q70,'Material Handling'!$C$40:$AH$40,0)), IFERROR(INDEX('Drop Point'!$B$13:$M$36,MATCH(A$97,'Drop Point'!$B$13:$B$37,0),MATCH($Q70,'Drop Point'!$B$41:$M$41,0)),
IFERROR(INDEX('Control - Grain dscf'!$C$11:$N$27,MATCH(A$97,'Control - Grain dscf'!$B$11:$B$27,0),MATCH($Q70,'Control - Grain dscf'!$C$32:$N$32,0)),
IFERROR(INDEX('Control - Alt'!$C$9:$O$27,MATCH(A$97,'Control - Alt'!$B$9:$B$27,0),MATCH($Q70,'Control - Alt'!$C$32:$O$32,0)),
IFERROR(INDEX(Stockpile!$C$10:$M$26,MATCH(A$97,Stockpile!$B$10:$B$26,0),MATCH($Q70,Stockpile!$C$30:$M$30,0)),
IFERROR(INDEX('Asphalt Silo &amp; Unloading'!$D$10:$M$44,MATCH(A$97,'Asphalt Silo &amp; Unloading'!$B$10:$B$44,0),MATCH($Q70,'Asphalt Silo &amp; Unloading'!$D$49:$M$49,0)),""))))))</f>
        <v/>
      </c>
      <c r="B70" s="135" t="str">
        <f>IFERROR(INDEX('Material Handling'!$C$10:$AH$33,MATCH(B$97,Material_Handling[Data],0),MATCH($Q70,'Material Handling'!$C$40:$AH$40,0)), IFERROR(INDEX('Drop Point'!$B$13:$M$36,MATCH(B$97,'Drop Point'!$B$13:$B$37,0),MATCH($Q70,'Drop Point'!$B$41:$M$41,0)),
IFERROR(INDEX('Control - Grain dscf'!$C$11:$N$27,MATCH(B$97,'Control - Grain dscf'!$B$11:$B$27,0),MATCH($Q70,'Control - Grain dscf'!$C$32:$N$32,0)),
IFERROR(INDEX('Control - Alt'!$C$9:$O$27,MATCH(B$97,'Control - Alt'!$B$9:$B$27,0),MATCH($Q70,'Control - Alt'!$C$32:$O$32,0)),
IFERROR(INDEX(Stockpile!$C$10:$M$26,MATCH(B$97,Stockpile!$B$10:$B$26,0),MATCH($Q70,Stockpile!$C$30:$M$30,0)),
IFERROR(INDEX('Asphalt Silo &amp; Unloading'!$D$10:$M$44,MATCH(B$97,'Asphalt Silo &amp; Unloading'!$B$10:$B$44,0),MATCH($Q70,'Asphalt Silo &amp; Unloading'!$D$49:$M$49,0)),""))))))</f>
        <v/>
      </c>
      <c r="C70" s="135" t="str">
        <f>IFERROR(INDEX('Material Handling'!$C$10:$AH$33,MATCH(C$97,Material_Handling[Data],0),MATCH($Q70,'Material Handling'!$C$40:$AH$40,0)), IFERROR(INDEX('Drop Point'!$B$13:$M$36,MATCH(C$97,'Drop Point'!$B$13:$B$37,0),MATCH($Q70,'Drop Point'!$B$41:$M$41,0)),
IFERROR(INDEX('Control - Grain dscf'!$C$11:$N$27,MATCH(C$97,'Control - Grain dscf'!$B$11:$B$27,0),MATCH($Q70,'Control - Grain dscf'!$C$32:$N$32,0)),
IFERROR(INDEX('Control - Alt'!$C$9:$O$27,MATCH(C$97,'Control - Alt'!$B$9:$B$27,0),MATCH($Q70,'Control - Alt'!$C$32:$O$32,0)),
IFERROR(INDEX(Stockpile!$C$10:$M$26,MATCH(C$97,Stockpile!$B$10:$B$26,0),MATCH($Q70,Stockpile!$C$30:$M$30,0)),
IFERROR(INDEX('Asphalt Silo &amp; Unloading'!$D$10:$M$44,MATCH(C$97,'Asphalt Silo &amp; Unloading'!$B$10:$B$44,0),MATCH($Q70,'Asphalt Silo &amp; Unloading'!$D$49:$M$49,0)),""))))))</f>
        <v/>
      </c>
      <c r="D70" s="135" t="str">
        <f>IFERROR(INDEX('Material Handling'!$C$10:$AH$33,MATCH(D$97,Material_Handling[Data],0),MATCH($Q70,'Material Handling'!$C$40:$AH$40,0)), IFERROR(INDEX('Drop Point'!$B$13:$M$36,MATCH(D$97,'Drop Point'!$B$13:$B$37,0),MATCH($Q70,'Drop Point'!$B$41:$M$41,0)),
IFERROR(INDEX('Control - Grain dscf'!$C$11:$N$27,MATCH(D$97,'Control - Grain dscf'!$B$11:$B$27,0),MATCH($Q70,'Control - Grain dscf'!$C$32:$N$32,0)),
IFERROR(INDEX('Control - Alt'!$C$9:$O$27,MATCH(D$97,'Control - Alt'!$B$9:$B$27,0),MATCH($Q70,'Control - Alt'!$C$32:$O$32,0)),
IFERROR(INDEX(Stockpile!$C$10:$M$26,MATCH(D$97,Stockpile!$B$10:$B$26,0),MATCH($Q70,Stockpile!$C$30:$M$30,0)),
IFERROR(INDEX('Asphalt Silo &amp; Unloading'!$D$10:$M$44,MATCH(D$97,'Asphalt Silo &amp; Unloading'!$B$10:$B$44,0),MATCH($Q70,'Asphalt Silo &amp; Unloading'!$D$49:$M$49,0)),""))))))</f>
        <v/>
      </c>
      <c r="E70" s="620" t="str">
        <f>IFERROR(INDEX('Material Handling'!$C$10:$AH$33,MATCH(E$97,Material_Handling[Data],0),MATCH($Q70,'Material Handling'!$C$40:$AH$40,0)), IFERROR(INDEX('Drop Point'!$B$13:$M$36,MATCH(E$97,'Drop Point'!$B$13:$B$37,0),MATCH($Q70,'Drop Point'!$B$41:$M$41,0)),
IFERROR(INDEX('Control - Grain dscf'!$C$11:$N$27,MATCH(E$97,'Control - Grain dscf'!$B$11:$B$27,0),MATCH($Q70,'Control - Grain dscf'!$C$32:$N$32,0)),
IFERROR(INDEX('Control - Alt'!$C$9:$O$27,MATCH(E$97,'Control - Alt'!$B$9:$B$27,0),MATCH($Q70,'Control - Alt'!$C$32:$O$32,0)),
IFERROR(INDEX(Stockpile!$C$10:$M$26,MATCH(E$97,Stockpile!$B$10:$B$26,0),MATCH($Q70,Stockpile!$C$30:$M$30,0)),
IFERROR(INDEX('Asphalt Silo &amp; Unloading'!$D$10:$M$44,MATCH(E$97,'Asphalt Silo &amp; Unloading'!$B$10:$B$44,0),MATCH($Q70,'Asphalt Silo &amp; Unloading'!$D$49:$M$49,0)),""))))))</f>
        <v/>
      </c>
      <c r="F70" s="590" t="str">
        <f>IFERROR(INDEX('Material Handling'!$C$10:$AH$33,MATCH(F$97,Material_Handling[Data],0),MATCH($Q70,'Material Handling'!$C$40:$AH$40,0)), IFERROR(INDEX('Drop Point'!$B$13:$M$36,MATCH(F$97,'Drop Point'!$B$13:$B$37,0),MATCH($Q70,'Drop Point'!$B$41:$M$41,0)),
IFERROR(INDEX('Control - Grain dscf'!$C$11:$N$27,MATCH(F$97,'Control - Grain dscf'!$B$11:$B$27,0),MATCH($Q70,'Control - Grain dscf'!$C$32:$N$32,0)),
IFERROR(INDEX('Control - Alt'!$C$9:$O$27,MATCH(F$97,'Control - Alt'!$B$9:$B$27,0),MATCH($Q70,'Control - Alt'!$C$32:$O$32,0)),
IFERROR(INDEX(Stockpile!$C$10:$M$26,MATCH(F$97,Stockpile!$B$10:$B$26,0),MATCH($Q70,Stockpile!$C$30:$M$30,0)),
IFERROR(INDEX('Asphalt Silo &amp; Unloading'!$D$10:$M$44,MATCH(F$97,'Asphalt Silo &amp; Unloading'!$B$10:$B$44,0),MATCH($Q70,'Asphalt Silo &amp; Unloading'!$D$49:$M$49,0)),""))))))</f>
        <v/>
      </c>
      <c r="G70" s="590" t="str">
        <f>IFERROR(INDEX('Material Handling'!$C$10:$AH$33,MATCH(G$97,Material_Handling[Data],0),MATCH($Q70,'Material Handling'!$C$40:$AH$40,0)), IFERROR(INDEX('Drop Point'!$B$13:$M$36,MATCH(G$97,'Drop Point'!$B$13:$B$37,0),MATCH($Q70,'Drop Point'!$B$41:$M$41,0)),
IFERROR(INDEX('Control - Grain dscf'!$C$11:$N$27,MATCH(G$97,'Control - Grain dscf'!$B$11:$B$27,0),MATCH($Q70,'Control - Grain dscf'!$C$32:$N$32,0)),
IFERROR(INDEX('Control - Alt'!$C$9:$O$27,MATCH(G$97,'Control - Alt'!$B$9:$B$27,0),MATCH($Q70,'Control - Alt'!$C$32:$O$32,0)),
IFERROR(INDEX(Stockpile!$C$10:$M$26,MATCH(G$97,Stockpile!$B$10:$B$26,0),MATCH($Q70,Stockpile!$C$30:$M$30,0)),
IFERROR(INDEX('Asphalt Silo &amp; Unloading'!$D$10:$M$44,MATCH(G$97,'Asphalt Silo &amp; Unloading'!$B$10:$B$44,0),MATCH($Q70,'Asphalt Silo &amp; Unloading'!$D$49:$M$49,0)),""))))))</f>
        <v/>
      </c>
      <c r="H70" s="590" t="str">
        <f>IFERROR(INDEX('Material Handling'!$C$10:$AH$33,MATCH(H$97,Material_Handling[Data],0),MATCH($Q70,'Material Handling'!$C$40:$AH$40,0)), IFERROR(INDEX('Drop Point'!$B$13:$M$36,MATCH(H$97,'Drop Point'!$B$13:$B$37,0),MATCH($Q70,'Drop Point'!$B$41:$M$41,0)),
IFERROR(INDEX('Control - Grain dscf'!$C$11:$N$27,MATCH(H$97,'Control - Grain dscf'!$B$11:$B$27,0),MATCH($Q70,'Control - Grain dscf'!$C$32:$N$32,0)),
IFERROR(INDEX('Control - Alt'!$C$9:$O$27,MATCH(H$97,'Control - Alt'!$B$9:$B$27,0),MATCH($Q70,'Control - Alt'!$C$32:$O$32,0)),
IFERROR(INDEX(Stockpile!$C$10:$M$26,MATCH(H$97,Stockpile!$B$10:$B$26,0),MATCH($Q70,Stockpile!$C$30:$M$30,0)),
IFERROR(INDEX('Asphalt Silo &amp; Unloading'!$D$10:$M$44,MATCH(H$97,'Asphalt Silo &amp; Unloading'!$B$10:$B$44,0),MATCH($Q70,'Asphalt Silo &amp; Unloading'!$D$49:$M$49,0)),""))))))</f>
        <v/>
      </c>
      <c r="I70" s="590" t="str">
        <f>IFERROR(INDEX('Material Handling'!$C$10:$AH$33,MATCH(I$97,Material_Handling[Data],0),MATCH($Q70,'Material Handling'!$C$40:$AH$40,0)), IFERROR(INDEX('Drop Point'!$B$13:$M$36,MATCH(I$97,'Drop Point'!$B$13:$B$37,0),MATCH($Q70,'Drop Point'!$B$41:$M$41,0)),
IFERROR(INDEX('Control - Grain dscf'!$C$11:$N$27,MATCH(I$97,'Control - Grain dscf'!$B$11:$B$27,0),MATCH($Q70,'Control - Grain dscf'!$C$32:$N$32,0)),
IFERROR(INDEX('Control - Alt'!$C$9:$O$27,MATCH(I$97,'Control - Alt'!$B$9:$B$27,0),MATCH($Q70,'Control - Alt'!$C$32:$O$32,0)),
IFERROR(INDEX(Stockpile!$C$10:$M$26,MATCH(I$97,Stockpile!$B$10:$B$26,0),MATCH($Q70,Stockpile!$C$30:$M$30,0)),
IFERROR(INDEX('Asphalt Silo &amp; Unloading'!$D$10:$M$44,MATCH(I$97,'Asphalt Silo &amp; Unloading'!$B$10:$B$44,0),MATCH($Q70,'Asphalt Silo &amp; Unloading'!$D$49:$M$49,0)),""))))))</f>
        <v/>
      </c>
      <c r="J70" s="590" t="str">
        <f>IFERROR(INDEX('Material Handling'!$C$10:$AH$33,MATCH(J$97,Material_Handling[Data],0),MATCH($Q70,'Material Handling'!$C$40:$AH$40,0)), IFERROR(INDEX('Drop Point'!$B$13:$M$36,MATCH(J$97,'Drop Point'!$B$13:$B$37,0),MATCH($Q70,'Drop Point'!$B$41:$M$41,0)),
IFERROR(INDEX('Control - Grain dscf'!$C$11:$N$27,MATCH(J$97,'Control - Grain dscf'!$B$11:$B$27,0),MATCH($Q70,'Control - Grain dscf'!$C$32:$N$32,0)),
IFERROR(INDEX('Control - Alt'!$C$9:$O$27,MATCH(J$97,'Control - Alt'!$B$9:$B$27,0),MATCH($Q70,'Control - Alt'!$C$32:$O$32,0)),
IFERROR(INDEX(Stockpile!$C$10:$M$26,MATCH(J$97,Stockpile!$B$10:$B$26,0),MATCH($Q70,Stockpile!$C$30:$M$30,0)),
IFERROR(INDEX('Asphalt Silo &amp; Unloading'!$D$10:$M$44,MATCH(J$97,'Asphalt Silo &amp; Unloading'!$B$10:$B$44,0),MATCH($Q70,'Asphalt Silo &amp; Unloading'!$D$49:$M$49,0)),""))))))</f>
        <v/>
      </c>
      <c r="K70" s="590" t="str">
        <f>IFERROR(INDEX('Material Handling'!$C$10:$AH$33,MATCH(K$97,Material_Handling[Data],0),MATCH($Q70,'Material Handling'!$C$40:$AH$40,0)), IFERROR(INDEX('Drop Point'!$B$13:$M$36,MATCH(K$97,'Drop Point'!$B$13:$B$37,0),MATCH($Q70,'Drop Point'!$B$41:$M$41,0)),
IFERROR(INDEX('Control - Grain dscf'!$C$11:$N$27,MATCH(K$97,'Control - Grain dscf'!$B$11:$B$27,0),MATCH($Q70,'Control - Grain dscf'!$C$32:$N$32,0)),
IFERROR(INDEX('Control - Alt'!$C$9:$O$27,MATCH(K$97,'Control - Alt'!$B$9:$B$27,0),MATCH($Q70,'Control - Alt'!$C$32:$O$32,0)),
IFERROR(INDEX(Stockpile!$C$10:$M$26,MATCH(K$97,Stockpile!$B$10:$B$26,0),MATCH($Q70,Stockpile!$C$30:$M$30,0)),
IFERROR(INDEX('Asphalt Silo &amp; Unloading'!$D$10:$M$44,MATCH(K$97,'Asphalt Silo &amp; Unloading'!$B$10:$B$44,0),MATCH($Q70,'Asphalt Silo &amp; Unloading'!$D$49:$M$49,0)),""))))))</f>
        <v/>
      </c>
      <c r="L70" s="590" t="str">
        <f>IFERROR(INDEX('Material Handling'!$C$10:$AH$33,MATCH(L$97,Material_Handling[Data],0),MATCH($Q70,'Material Handling'!$C$40:$AH$40,0)), IFERROR(INDEX('Drop Point'!$B$13:$M$36,MATCH(L$97,'Drop Point'!$B$13:$B$37,0),MATCH($Q70,'Drop Point'!$B$41:$M$41,0)),
IFERROR(INDEX('Control - Grain dscf'!$C$11:$N$27,MATCH(L$97,'Control - Grain dscf'!$B$11:$B$27,0),MATCH($Q70,'Control - Grain dscf'!$C$32:$N$32,0)),
IFERROR(INDEX('Control - Alt'!$C$9:$O$27,MATCH(L$97,'Control - Alt'!$B$9:$B$27,0),MATCH($Q70,'Control - Alt'!$C$32:$O$32,0)),
IFERROR(INDEX(Stockpile!$C$10:$M$26,MATCH(L$97,Stockpile!$B$10:$B$26,0),MATCH($Q70,Stockpile!$C$30:$M$30,0)),
IFERROR(INDEX('Asphalt Silo &amp; Unloading'!$D$10:$M$44,MATCH(L$97,'Asphalt Silo &amp; Unloading'!$B$10:$B$44,0),MATCH($Q70,'Asphalt Silo &amp; Unloading'!$D$49:$M$49,0)),""))))))</f>
        <v/>
      </c>
      <c r="M70" s="590" t="str">
        <f>IFERROR(INDEX('Material Handling'!$C$10:$AH$33,MATCH(M$97,Material_Handling[Data],0),MATCH($Q70,'Material Handling'!$C$40:$AH$40,0)), IFERROR(INDEX('Drop Point'!$B$13:$M$36,MATCH(M$97,'Drop Point'!$B$13:$B$37,0),MATCH($Q70,'Drop Point'!$B$41:$M$41,0)),
IFERROR(INDEX('Control - Grain dscf'!$C$11:$N$27,MATCH(M$97,'Control - Grain dscf'!$B$11:$B$27,0),MATCH($Q70,'Control - Grain dscf'!$C$32:$N$32,0)),
IFERROR(INDEX('Control - Alt'!$C$9:$O$27,MATCH(M$97,'Control - Alt'!$B$9:$B$27,0),MATCH($Q70,'Control - Alt'!$C$32:$O$32,0)),
IFERROR(INDEX(Stockpile!$C$10:$M$26,MATCH(M$97,Stockpile!$B$10:$B$26,0),MATCH($Q70,Stockpile!$C$30:$M$30,0)),
IFERROR(INDEX('Asphalt Silo &amp; Unloading'!$D$10:$M$44,MATCH(M$97,'Asphalt Silo &amp; Unloading'!$B$10:$B$44,0),MATCH($Q70,'Asphalt Silo &amp; Unloading'!$D$49:$M$49,0)),""))))))</f>
        <v/>
      </c>
      <c r="N70" s="590" t="str">
        <f>IFERROR(INDEX('Material Handling'!$C$10:$AH$33,MATCH(N$97,Material_Handling[Data],0),MATCH($Q70,'Material Handling'!$C$40:$AH$40,0)), IFERROR(INDEX('Drop Point'!$B$13:$M$36,MATCH(N$97,'Drop Point'!$B$13:$B$37,0),MATCH($Q70,'Drop Point'!$B$41:$M$41,0)),
IFERROR(INDEX('Control - Grain dscf'!$C$11:$N$27,MATCH(N$97,'Control - Grain dscf'!$B$11:$B$27,0),MATCH($Q70,'Control - Grain dscf'!$C$32:$N$32,0)),
IFERROR(INDEX('Control - Alt'!$C$9:$O$27,MATCH(N$97,'Control - Alt'!$B$9:$B$27,0),MATCH($Q70,'Control - Alt'!$C$32:$O$32,0)),
IFERROR(INDEX(Stockpile!$C$10:$M$26,MATCH(N$97,Stockpile!$B$10:$B$26,0),MATCH($Q70,Stockpile!$C$30:$M$30,0)),
IFERROR(INDEX('Asphalt Silo &amp; Unloading'!$D$10:$M$44,MATCH(N$97,'Asphalt Silo &amp; Unloading'!$B$10:$B$44,0),MATCH($Q70,'Asphalt Silo &amp; Unloading'!$D$49:$M$49,0)),""))))))</f>
        <v/>
      </c>
      <c r="O70" s="591" t="str">
        <f>IFERROR(INDEX('Material Handling'!$C$10:$AH$33,MATCH(O$97,Material_Handling[Data],0),MATCH($Q70,'Material Handling'!$C$40:$AH$40,0)), IFERROR(INDEX('Drop Point'!$B$13:$M$36,MATCH(O$97,'Drop Point'!$B$13:$B$37,0),MATCH($Q70,'Drop Point'!$B$41:$M$41,0)),
IFERROR(INDEX('Control - Grain dscf'!$C$11:$N$27,MATCH(O$97,'Control - Grain dscf'!$B$11:$B$27,0),MATCH($Q70,'Control - Grain dscf'!$C$32:$N$32,0)),
IFERROR(INDEX('Control - Alt'!$C$9:$O$27,MATCH(O$97,'Control - Alt'!$B$9:$B$27,0),MATCH($Q70,'Control - Alt'!$C$32:$O$32,0)),
IFERROR(INDEX(Stockpile!$C$10:$M$26,MATCH(O$97,Stockpile!$B$10:$B$26,0),MATCH($Q70,Stockpile!$C$30:$M$30,0)),
IFERROR(INDEX('Asphalt Silo &amp; Unloading'!$D$10:$M$44,MATCH(O$97,'Asphalt Silo &amp; Unloading'!$B$10:$B$44,0),MATCH($Q70,'Asphalt Silo &amp; Unloading'!$D$49:$M$49,0)),""))))))</f>
        <v/>
      </c>
      <c r="Q70" s="131">
        <f t="shared" si="1"/>
        <v>62</v>
      </c>
    </row>
    <row r="71" spans="1:17" ht="20.100000000000001" customHeight="1">
      <c r="A71" s="293" t="str">
        <f>IFERROR(INDEX('Material Handling'!$C$10:$AH$33,MATCH(A$97,Material_Handling[Data],0),MATCH($Q71,'Material Handling'!$C$40:$AH$40,0)), IFERROR(INDEX('Drop Point'!$B$13:$M$36,MATCH(A$97,'Drop Point'!$B$13:$B$37,0),MATCH($Q71,'Drop Point'!$B$41:$M$41,0)),
IFERROR(INDEX('Control - Grain dscf'!$C$11:$N$27,MATCH(A$97,'Control - Grain dscf'!$B$11:$B$27,0),MATCH($Q71,'Control - Grain dscf'!$C$32:$N$32,0)),
IFERROR(INDEX('Control - Alt'!$C$9:$O$27,MATCH(A$97,'Control - Alt'!$B$9:$B$27,0),MATCH($Q71,'Control - Alt'!$C$32:$O$32,0)),
IFERROR(INDEX(Stockpile!$C$10:$M$26,MATCH(A$97,Stockpile!$B$10:$B$26,0),MATCH($Q71,Stockpile!$C$30:$M$30,0)),
IFERROR(INDEX('Asphalt Silo &amp; Unloading'!$D$10:$M$44,MATCH(A$97,'Asphalt Silo &amp; Unloading'!$B$10:$B$44,0),MATCH($Q71,'Asphalt Silo &amp; Unloading'!$D$49:$M$49,0)),""))))))</f>
        <v/>
      </c>
      <c r="B71" s="135" t="str">
        <f>IFERROR(INDEX('Material Handling'!$C$10:$AH$33,MATCH(B$97,Material_Handling[Data],0),MATCH($Q71,'Material Handling'!$C$40:$AH$40,0)), IFERROR(INDEX('Drop Point'!$B$13:$M$36,MATCH(B$97,'Drop Point'!$B$13:$B$37,0),MATCH($Q71,'Drop Point'!$B$41:$M$41,0)),
IFERROR(INDEX('Control - Grain dscf'!$C$11:$N$27,MATCH(B$97,'Control - Grain dscf'!$B$11:$B$27,0),MATCH($Q71,'Control - Grain dscf'!$C$32:$N$32,0)),
IFERROR(INDEX('Control - Alt'!$C$9:$O$27,MATCH(B$97,'Control - Alt'!$B$9:$B$27,0),MATCH($Q71,'Control - Alt'!$C$32:$O$32,0)),
IFERROR(INDEX(Stockpile!$C$10:$M$26,MATCH(B$97,Stockpile!$B$10:$B$26,0),MATCH($Q71,Stockpile!$C$30:$M$30,0)),
IFERROR(INDEX('Asphalt Silo &amp; Unloading'!$D$10:$M$44,MATCH(B$97,'Asphalt Silo &amp; Unloading'!$B$10:$B$44,0),MATCH($Q71,'Asphalt Silo &amp; Unloading'!$D$49:$M$49,0)),""))))))</f>
        <v/>
      </c>
      <c r="C71" s="135" t="str">
        <f>IFERROR(INDEX('Material Handling'!$C$10:$AH$33,MATCH(C$97,Material_Handling[Data],0),MATCH($Q71,'Material Handling'!$C$40:$AH$40,0)), IFERROR(INDEX('Drop Point'!$B$13:$M$36,MATCH(C$97,'Drop Point'!$B$13:$B$37,0),MATCH($Q71,'Drop Point'!$B$41:$M$41,0)),
IFERROR(INDEX('Control - Grain dscf'!$C$11:$N$27,MATCH(C$97,'Control - Grain dscf'!$B$11:$B$27,0),MATCH($Q71,'Control - Grain dscf'!$C$32:$N$32,0)),
IFERROR(INDEX('Control - Alt'!$C$9:$O$27,MATCH(C$97,'Control - Alt'!$B$9:$B$27,0),MATCH($Q71,'Control - Alt'!$C$32:$O$32,0)),
IFERROR(INDEX(Stockpile!$C$10:$M$26,MATCH(C$97,Stockpile!$B$10:$B$26,0),MATCH($Q71,Stockpile!$C$30:$M$30,0)),
IFERROR(INDEX('Asphalt Silo &amp; Unloading'!$D$10:$M$44,MATCH(C$97,'Asphalt Silo &amp; Unloading'!$B$10:$B$44,0),MATCH($Q71,'Asphalt Silo &amp; Unloading'!$D$49:$M$49,0)),""))))))</f>
        <v/>
      </c>
      <c r="D71" s="135" t="str">
        <f>IFERROR(INDEX('Material Handling'!$C$10:$AH$33,MATCH(D$97,Material_Handling[Data],0),MATCH($Q71,'Material Handling'!$C$40:$AH$40,0)), IFERROR(INDEX('Drop Point'!$B$13:$M$36,MATCH(D$97,'Drop Point'!$B$13:$B$37,0),MATCH($Q71,'Drop Point'!$B$41:$M$41,0)),
IFERROR(INDEX('Control - Grain dscf'!$C$11:$N$27,MATCH(D$97,'Control - Grain dscf'!$B$11:$B$27,0),MATCH($Q71,'Control - Grain dscf'!$C$32:$N$32,0)),
IFERROR(INDEX('Control - Alt'!$C$9:$O$27,MATCH(D$97,'Control - Alt'!$B$9:$B$27,0),MATCH($Q71,'Control - Alt'!$C$32:$O$32,0)),
IFERROR(INDEX(Stockpile!$C$10:$M$26,MATCH(D$97,Stockpile!$B$10:$B$26,0),MATCH($Q71,Stockpile!$C$30:$M$30,0)),
IFERROR(INDEX('Asphalt Silo &amp; Unloading'!$D$10:$M$44,MATCH(D$97,'Asphalt Silo &amp; Unloading'!$B$10:$B$44,0),MATCH($Q71,'Asphalt Silo &amp; Unloading'!$D$49:$M$49,0)),""))))))</f>
        <v/>
      </c>
      <c r="E71" s="620" t="str">
        <f>IFERROR(INDEX('Material Handling'!$C$10:$AH$33,MATCH(E$97,Material_Handling[Data],0),MATCH($Q71,'Material Handling'!$C$40:$AH$40,0)), IFERROR(INDEX('Drop Point'!$B$13:$M$36,MATCH(E$97,'Drop Point'!$B$13:$B$37,0),MATCH($Q71,'Drop Point'!$B$41:$M$41,0)),
IFERROR(INDEX('Control - Grain dscf'!$C$11:$N$27,MATCH(E$97,'Control - Grain dscf'!$B$11:$B$27,0),MATCH($Q71,'Control - Grain dscf'!$C$32:$N$32,0)),
IFERROR(INDEX('Control - Alt'!$C$9:$O$27,MATCH(E$97,'Control - Alt'!$B$9:$B$27,0),MATCH($Q71,'Control - Alt'!$C$32:$O$32,0)),
IFERROR(INDEX(Stockpile!$C$10:$M$26,MATCH(E$97,Stockpile!$B$10:$B$26,0),MATCH($Q71,Stockpile!$C$30:$M$30,0)),
IFERROR(INDEX('Asphalt Silo &amp; Unloading'!$D$10:$M$44,MATCH(E$97,'Asphalt Silo &amp; Unloading'!$B$10:$B$44,0),MATCH($Q71,'Asphalt Silo &amp; Unloading'!$D$49:$M$49,0)),""))))))</f>
        <v/>
      </c>
      <c r="F71" s="590" t="str">
        <f>IFERROR(INDEX('Material Handling'!$C$10:$AH$33,MATCH(F$97,Material_Handling[Data],0),MATCH($Q71,'Material Handling'!$C$40:$AH$40,0)), IFERROR(INDEX('Drop Point'!$B$13:$M$36,MATCH(F$97,'Drop Point'!$B$13:$B$37,0),MATCH($Q71,'Drop Point'!$B$41:$M$41,0)),
IFERROR(INDEX('Control - Grain dscf'!$C$11:$N$27,MATCH(F$97,'Control - Grain dscf'!$B$11:$B$27,0),MATCH($Q71,'Control - Grain dscf'!$C$32:$N$32,0)),
IFERROR(INDEX('Control - Alt'!$C$9:$O$27,MATCH(F$97,'Control - Alt'!$B$9:$B$27,0),MATCH($Q71,'Control - Alt'!$C$32:$O$32,0)),
IFERROR(INDEX(Stockpile!$C$10:$M$26,MATCH(F$97,Stockpile!$B$10:$B$26,0),MATCH($Q71,Stockpile!$C$30:$M$30,0)),
IFERROR(INDEX('Asphalt Silo &amp; Unloading'!$D$10:$M$44,MATCH(F$97,'Asphalt Silo &amp; Unloading'!$B$10:$B$44,0),MATCH($Q71,'Asphalt Silo &amp; Unloading'!$D$49:$M$49,0)),""))))))</f>
        <v/>
      </c>
      <c r="G71" s="590" t="str">
        <f>IFERROR(INDEX('Material Handling'!$C$10:$AH$33,MATCH(G$97,Material_Handling[Data],0),MATCH($Q71,'Material Handling'!$C$40:$AH$40,0)), IFERROR(INDEX('Drop Point'!$B$13:$M$36,MATCH(G$97,'Drop Point'!$B$13:$B$37,0),MATCH($Q71,'Drop Point'!$B$41:$M$41,0)),
IFERROR(INDEX('Control - Grain dscf'!$C$11:$N$27,MATCH(G$97,'Control - Grain dscf'!$B$11:$B$27,0),MATCH($Q71,'Control - Grain dscf'!$C$32:$N$32,0)),
IFERROR(INDEX('Control - Alt'!$C$9:$O$27,MATCH(G$97,'Control - Alt'!$B$9:$B$27,0),MATCH($Q71,'Control - Alt'!$C$32:$O$32,0)),
IFERROR(INDEX(Stockpile!$C$10:$M$26,MATCH(G$97,Stockpile!$B$10:$B$26,0),MATCH($Q71,Stockpile!$C$30:$M$30,0)),
IFERROR(INDEX('Asphalt Silo &amp; Unloading'!$D$10:$M$44,MATCH(G$97,'Asphalt Silo &amp; Unloading'!$B$10:$B$44,0),MATCH($Q71,'Asphalt Silo &amp; Unloading'!$D$49:$M$49,0)),""))))))</f>
        <v/>
      </c>
      <c r="H71" s="590" t="str">
        <f>IFERROR(INDEX('Material Handling'!$C$10:$AH$33,MATCH(H$97,Material_Handling[Data],0),MATCH($Q71,'Material Handling'!$C$40:$AH$40,0)), IFERROR(INDEX('Drop Point'!$B$13:$M$36,MATCH(H$97,'Drop Point'!$B$13:$B$37,0),MATCH($Q71,'Drop Point'!$B$41:$M$41,0)),
IFERROR(INDEX('Control - Grain dscf'!$C$11:$N$27,MATCH(H$97,'Control - Grain dscf'!$B$11:$B$27,0),MATCH($Q71,'Control - Grain dscf'!$C$32:$N$32,0)),
IFERROR(INDEX('Control - Alt'!$C$9:$O$27,MATCH(H$97,'Control - Alt'!$B$9:$B$27,0),MATCH($Q71,'Control - Alt'!$C$32:$O$32,0)),
IFERROR(INDEX(Stockpile!$C$10:$M$26,MATCH(H$97,Stockpile!$B$10:$B$26,0),MATCH($Q71,Stockpile!$C$30:$M$30,0)),
IFERROR(INDEX('Asphalt Silo &amp; Unloading'!$D$10:$M$44,MATCH(H$97,'Asphalt Silo &amp; Unloading'!$B$10:$B$44,0),MATCH($Q71,'Asphalt Silo &amp; Unloading'!$D$49:$M$49,0)),""))))))</f>
        <v/>
      </c>
      <c r="I71" s="590" t="str">
        <f>IFERROR(INDEX('Material Handling'!$C$10:$AH$33,MATCH(I$97,Material_Handling[Data],0),MATCH($Q71,'Material Handling'!$C$40:$AH$40,0)), IFERROR(INDEX('Drop Point'!$B$13:$M$36,MATCH(I$97,'Drop Point'!$B$13:$B$37,0),MATCH($Q71,'Drop Point'!$B$41:$M$41,0)),
IFERROR(INDEX('Control - Grain dscf'!$C$11:$N$27,MATCH(I$97,'Control - Grain dscf'!$B$11:$B$27,0),MATCH($Q71,'Control - Grain dscf'!$C$32:$N$32,0)),
IFERROR(INDEX('Control - Alt'!$C$9:$O$27,MATCH(I$97,'Control - Alt'!$B$9:$B$27,0),MATCH($Q71,'Control - Alt'!$C$32:$O$32,0)),
IFERROR(INDEX(Stockpile!$C$10:$M$26,MATCH(I$97,Stockpile!$B$10:$B$26,0),MATCH($Q71,Stockpile!$C$30:$M$30,0)),
IFERROR(INDEX('Asphalt Silo &amp; Unloading'!$D$10:$M$44,MATCH(I$97,'Asphalt Silo &amp; Unloading'!$B$10:$B$44,0),MATCH($Q71,'Asphalt Silo &amp; Unloading'!$D$49:$M$49,0)),""))))))</f>
        <v/>
      </c>
      <c r="J71" s="590" t="str">
        <f>IFERROR(INDEX('Material Handling'!$C$10:$AH$33,MATCH(J$97,Material_Handling[Data],0),MATCH($Q71,'Material Handling'!$C$40:$AH$40,0)), IFERROR(INDEX('Drop Point'!$B$13:$M$36,MATCH(J$97,'Drop Point'!$B$13:$B$37,0),MATCH($Q71,'Drop Point'!$B$41:$M$41,0)),
IFERROR(INDEX('Control - Grain dscf'!$C$11:$N$27,MATCH(J$97,'Control - Grain dscf'!$B$11:$B$27,0),MATCH($Q71,'Control - Grain dscf'!$C$32:$N$32,0)),
IFERROR(INDEX('Control - Alt'!$C$9:$O$27,MATCH(J$97,'Control - Alt'!$B$9:$B$27,0),MATCH($Q71,'Control - Alt'!$C$32:$O$32,0)),
IFERROR(INDEX(Stockpile!$C$10:$M$26,MATCH(J$97,Stockpile!$B$10:$B$26,0),MATCH($Q71,Stockpile!$C$30:$M$30,0)),
IFERROR(INDEX('Asphalt Silo &amp; Unloading'!$D$10:$M$44,MATCH(J$97,'Asphalt Silo &amp; Unloading'!$B$10:$B$44,0),MATCH($Q71,'Asphalt Silo &amp; Unloading'!$D$49:$M$49,0)),""))))))</f>
        <v/>
      </c>
      <c r="K71" s="590" t="str">
        <f>IFERROR(INDEX('Material Handling'!$C$10:$AH$33,MATCH(K$97,Material_Handling[Data],0),MATCH($Q71,'Material Handling'!$C$40:$AH$40,0)), IFERROR(INDEX('Drop Point'!$B$13:$M$36,MATCH(K$97,'Drop Point'!$B$13:$B$37,0),MATCH($Q71,'Drop Point'!$B$41:$M$41,0)),
IFERROR(INDEX('Control - Grain dscf'!$C$11:$N$27,MATCH(K$97,'Control - Grain dscf'!$B$11:$B$27,0),MATCH($Q71,'Control - Grain dscf'!$C$32:$N$32,0)),
IFERROR(INDEX('Control - Alt'!$C$9:$O$27,MATCH(K$97,'Control - Alt'!$B$9:$B$27,0),MATCH($Q71,'Control - Alt'!$C$32:$O$32,0)),
IFERROR(INDEX(Stockpile!$C$10:$M$26,MATCH(K$97,Stockpile!$B$10:$B$26,0),MATCH($Q71,Stockpile!$C$30:$M$30,0)),
IFERROR(INDEX('Asphalt Silo &amp; Unloading'!$D$10:$M$44,MATCH(K$97,'Asphalt Silo &amp; Unloading'!$B$10:$B$44,0),MATCH($Q71,'Asphalt Silo &amp; Unloading'!$D$49:$M$49,0)),""))))))</f>
        <v/>
      </c>
      <c r="L71" s="590" t="str">
        <f>IFERROR(INDEX('Material Handling'!$C$10:$AH$33,MATCH(L$97,Material_Handling[Data],0),MATCH($Q71,'Material Handling'!$C$40:$AH$40,0)), IFERROR(INDEX('Drop Point'!$B$13:$M$36,MATCH(L$97,'Drop Point'!$B$13:$B$37,0),MATCH($Q71,'Drop Point'!$B$41:$M$41,0)),
IFERROR(INDEX('Control - Grain dscf'!$C$11:$N$27,MATCH(L$97,'Control - Grain dscf'!$B$11:$B$27,0),MATCH($Q71,'Control - Grain dscf'!$C$32:$N$32,0)),
IFERROR(INDEX('Control - Alt'!$C$9:$O$27,MATCH(L$97,'Control - Alt'!$B$9:$B$27,0),MATCH($Q71,'Control - Alt'!$C$32:$O$32,0)),
IFERROR(INDEX(Stockpile!$C$10:$M$26,MATCH(L$97,Stockpile!$B$10:$B$26,0),MATCH($Q71,Stockpile!$C$30:$M$30,0)),
IFERROR(INDEX('Asphalt Silo &amp; Unloading'!$D$10:$M$44,MATCH(L$97,'Asphalt Silo &amp; Unloading'!$B$10:$B$44,0),MATCH($Q71,'Asphalt Silo &amp; Unloading'!$D$49:$M$49,0)),""))))))</f>
        <v/>
      </c>
      <c r="M71" s="590" t="str">
        <f>IFERROR(INDEX('Material Handling'!$C$10:$AH$33,MATCH(M$97,Material_Handling[Data],0),MATCH($Q71,'Material Handling'!$C$40:$AH$40,0)), IFERROR(INDEX('Drop Point'!$B$13:$M$36,MATCH(M$97,'Drop Point'!$B$13:$B$37,0),MATCH($Q71,'Drop Point'!$B$41:$M$41,0)),
IFERROR(INDEX('Control - Grain dscf'!$C$11:$N$27,MATCH(M$97,'Control - Grain dscf'!$B$11:$B$27,0),MATCH($Q71,'Control - Grain dscf'!$C$32:$N$32,0)),
IFERROR(INDEX('Control - Alt'!$C$9:$O$27,MATCH(M$97,'Control - Alt'!$B$9:$B$27,0),MATCH($Q71,'Control - Alt'!$C$32:$O$32,0)),
IFERROR(INDEX(Stockpile!$C$10:$M$26,MATCH(M$97,Stockpile!$B$10:$B$26,0),MATCH($Q71,Stockpile!$C$30:$M$30,0)),
IFERROR(INDEX('Asphalt Silo &amp; Unloading'!$D$10:$M$44,MATCH(M$97,'Asphalt Silo &amp; Unloading'!$B$10:$B$44,0),MATCH($Q71,'Asphalt Silo &amp; Unloading'!$D$49:$M$49,0)),""))))))</f>
        <v/>
      </c>
      <c r="N71" s="590" t="str">
        <f>IFERROR(INDEX('Material Handling'!$C$10:$AH$33,MATCH(N$97,Material_Handling[Data],0),MATCH($Q71,'Material Handling'!$C$40:$AH$40,0)), IFERROR(INDEX('Drop Point'!$B$13:$M$36,MATCH(N$97,'Drop Point'!$B$13:$B$37,0),MATCH($Q71,'Drop Point'!$B$41:$M$41,0)),
IFERROR(INDEX('Control - Grain dscf'!$C$11:$N$27,MATCH(N$97,'Control - Grain dscf'!$B$11:$B$27,0),MATCH($Q71,'Control - Grain dscf'!$C$32:$N$32,0)),
IFERROR(INDEX('Control - Alt'!$C$9:$O$27,MATCH(N$97,'Control - Alt'!$B$9:$B$27,0),MATCH($Q71,'Control - Alt'!$C$32:$O$32,0)),
IFERROR(INDEX(Stockpile!$C$10:$M$26,MATCH(N$97,Stockpile!$B$10:$B$26,0),MATCH($Q71,Stockpile!$C$30:$M$30,0)),
IFERROR(INDEX('Asphalt Silo &amp; Unloading'!$D$10:$M$44,MATCH(N$97,'Asphalt Silo &amp; Unloading'!$B$10:$B$44,0),MATCH($Q71,'Asphalt Silo &amp; Unloading'!$D$49:$M$49,0)),""))))))</f>
        <v/>
      </c>
      <c r="O71" s="591" t="str">
        <f>IFERROR(INDEX('Material Handling'!$C$10:$AH$33,MATCH(O$97,Material_Handling[Data],0),MATCH($Q71,'Material Handling'!$C$40:$AH$40,0)), IFERROR(INDEX('Drop Point'!$B$13:$M$36,MATCH(O$97,'Drop Point'!$B$13:$B$37,0),MATCH($Q71,'Drop Point'!$B$41:$M$41,0)),
IFERROR(INDEX('Control - Grain dscf'!$C$11:$N$27,MATCH(O$97,'Control - Grain dscf'!$B$11:$B$27,0),MATCH($Q71,'Control - Grain dscf'!$C$32:$N$32,0)),
IFERROR(INDEX('Control - Alt'!$C$9:$O$27,MATCH(O$97,'Control - Alt'!$B$9:$B$27,0),MATCH($Q71,'Control - Alt'!$C$32:$O$32,0)),
IFERROR(INDEX(Stockpile!$C$10:$M$26,MATCH(O$97,Stockpile!$B$10:$B$26,0),MATCH($Q71,Stockpile!$C$30:$M$30,0)),
IFERROR(INDEX('Asphalt Silo &amp; Unloading'!$D$10:$M$44,MATCH(O$97,'Asphalt Silo &amp; Unloading'!$B$10:$B$44,0),MATCH($Q71,'Asphalt Silo &amp; Unloading'!$D$49:$M$49,0)),""))))))</f>
        <v/>
      </c>
      <c r="Q71" s="131">
        <f t="shared" si="1"/>
        <v>63</v>
      </c>
    </row>
    <row r="72" spans="1:17" ht="20.100000000000001" customHeight="1">
      <c r="A72" s="293" t="str">
        <f>IFERROR(INDEX('Material Handling'!$C$10:$AH$33,MATCH(A$97,Material_Handling[Data],0),MATCH($Q72,'Material Handling'!$C$40:$AH$40,0)), IFERROR(INDEX('Drop Point'!$B$13:$M$36,MATCH(A$97,'Drop Point'!$B$13:$B$37,0),MATCH($Q72,'Drop Point'!$B$41:$M$41,0)),
IFERROR(INDEX('Control - Grain dscf'!$C$11:$N$27,MATCH(A$97,'Control - Grain dscf'!$B$11:$B$27,0),MATCH($Q72,'Control - Grain dscf'!$C$32:$N$32,0)),
IFERROR(INDEX('Control - Alt'!$C$9:$O$27,MATCH(A$97,'Control - Alt'!$B$9:$B$27,0),MATCH($Q72,'Control - Alt'!$C$32:$O$32,0)),
IFERROR(INDEX(Stockpile!$C$10:$M$26,MATCH(A$97,Stockpile!$B$10:$B$26,0),MATCH($Q72,Stockpile!$C$30:$M$30,0)),
IFERROR(INDEX('Asphalt Silo &amp; Unloading'!$D$10:$M$44,MATCH(A$97,'Asphalt Silo &amp; Unloading'!$B$10:$B$44,0),MATCH($Q72,'Asphalt Silo &amp; Unloading'!$D$49:$M$49,0)),""))))))</f>
        <v/>
      </c>
      <c r="B72" s="135" t="str">
        <f>IFERROR(INDEX('Material Handling'!$C$10:$AH$33,MATCH(B$97,Material_Handling[Data],0),MATCH($Q72,'Material Handling'!$C$40:$AH$40,0)), IFERROR(INDEX('Drop Point'!$B$13:$M$36,MATCH(B$97,'Drop Point'!$B$13:$B$37,0),MATCH($Q72,'Drop Point'!$B$41:$M$41,0)),
IFERROR(INDEX('Control - Grain dscf'!$C$11:$N$27,MATCH(B$97,'Control - Grain dscf'!$B$11:$B$27,0),MATCH($Q72,'Control - Grain dscf'!$C$32:$N$32,0)),
IFERROR(INDEX('Control - Alt'!$C$9:$O$27,MATCH(B$97,'Control - Alt'!$B$9:$B$27,0),MATCH($Q72,'Control - Alt'!$C$32:$O$32,0)),
IFERROR(INDEX(Stockpile!$C$10:$M$26,MATCH(B$97,Stockpile!$B$10:$B$26,0),MATCH($Q72,Stockpile!$C$30:$M$30,0)),
IFERROR(INDEX('Asphalt Silo &amp; Unloading'!$D$10:$M$44,MATCH(B$97,'Asphalt Silo &amp; Unloading'!$B$10:$B$44,0),MATCH($Q72,'Asphalt Silo &amp; Unloading'!$D$49:$M$49,0)),""))))))</f>
        <v/>
      </c>
      <c r="C72" s="135" t="str">
        <f>IFERROR(INDEX('Material Handling'!$C$10:$AH$33,MATCH(C$97,Material_Handling[Data],0),MATCH($Q72,'Material Handling'!$C$40:$AH$40,0)), IFERROR(INDEX('Drop Point'!$B$13:$M$36,MATCH(C$97,'Drop Point'!$B$13:$B$37,0),MATCH($Q72,'Drop Point'!$B$41:$M$41,0)),
IFERROR(INDEX('Control - Grain dscf'!$C$11:$N$27,MATCH(C$97,'Control - Grain dscf'!$B$11:$B$27,0),MATCH($Q72,'Control - Grain dscf'!$C$32:$N$32,0)),
IFERROR(INDEX('Control - Alt'!$C$9:$O$27,MATCH(C$97,'Control - Alt'!$B$9:$B$27,0),MATCH($Q72,'Control - Alt'!$C$32:$O$32,0)),
IFERROR(INDEX(Stockpile!$C$10:$M$26,MATCH(C$97,Stockpile!$B$10:$B$26,0),MATCH($Q72,Stockpile!$C$30:$M$30,0)),
IFERROR(INDEX('Asphalt Silo &amp; Unloading'!$D$10:$M$44,MATCH(C$97,'Asphalt Silo &amp; Unloading'!$B$10:$B$44,0),MATCH($Q72,'Asphalt Silo &amp; Unloading'!$D$49:$M$49,0)),""))))))</f>
        <v/>
      </c>
      <c r="D72" s="135" t="str">
        <f>IFERROR(INDEX('Material Handling'!$C$10:$AH$33,MATCH(D$97,Material_Handling[Data],0),MATCH($Q72,'Material Handling'!$C$40:$AH$40,0)), IFERROR(INDEX('Drop Point'!$B$13:$M$36,MATCH(D$97,'Drop Point'!$B$13:$B$37,0),MATCH($Q72,'Drop Point'!$B$41:$M$41,0)),
IFERROR(INDEX('Control - Grain dscf'!$C$11:$N$27,MATCH(D$97,'Control - Grain dscf'!$B$11:$B$27,0),MATCH($Q72,'Control - Grain dscf'!$C$32:$N$32,0)),
IFERROR(INDEX('Control - Alt'!$C$9:$O$27,MATCH(D$97,'Control - Alt'!$B$9:$B$27,0),MATCH($Q72,'Control - Alt'!$C$32:$O$32,0)),
IFERROR(INDEX(Stockpile!$C$10:$M$26,MATCH(D$97,Stockpile!$B$10:$B$26,0),MATCH($Q72,Stockpile!$C$30:$M$30,0)),
IFERROR(INDEX('Asphalt Silo &amp; Unloading'!$D$10:$M$44,MATCH(D$97,'Asphalt Silo &amp; Unloading'!$B$10:$B$44,0),MATCH($Q72,'Asphalt Silo &amp; Unloading'!$D$49:$M$49,0)),""))))))</f>
        <v/>
      </c>
      <c r="E72" s="620" t="str">
        <f>IFERROR(INDEX('Material Handling'!$C$10:$AH$33,MATCH(E$97,Material_Handling[Data],0),MATCH($Q72,'Material Handling'!$C$40:$AH$40,0)), IFERROR(INDEX('Drop Point'!$B$13:$M$36,MATCH(E$97,'Drop Point'!$B$13:$B$37,0),MATCH($Q72,'Drop Point'!$B$41:$M$41,0)),
IFERROR(INDEX('Control - Grain dscf'!$C$11:$N$27,MATCH(E$97,'Control - Grain dscf'!$B$11:$B$27,0),MATCH($Q72,'Control - Grain dscf'!$C$32:$N$32,0)),
IFERROR(INDEX('Control - Alt'!$C$9:$O$27,MATCH(E$97,'Control - Alt'!$B$9:$B$27,0),MATCH($Q72,'Control - Alt'!$C$32:$O$32,0)),
IFERROR(INDEX(Stockpile!$C$10:$M$26,MATCH(E$97,Stockpile!$B$10:$B$26,0),MATCH($Q72,Stockpile!$C$30:$M$30,0)),
IFERROR(INDEX('Asphalt Silo &amp; Unloading'!$D$10:$M$44,MATCH(E$97,'Asphalt Silo &amp; Unloading'!$B$10:$B$44,0),MATCH($Q72,'Asphalt Silo &amp; Unloading'!$D$49:$M$49,0)),""))))))</f>
        <v/>
      </c>
      <c r="F72" s="590" t="str">
        <f>IFERROR(INDEX('Material Handling'!$C$10:$AH$33,MATCH(F$97,Material_Handling[Data],0),MATCH($Q72,'Material Handling'!$C$40:$AH$40,0)), IFERROR(INDEX('Drop Point'!$B$13:$M$36,MATCH(F$97,'Drop Point'!$B$13:$B$37,0),MATCH($Q72,'Drop Point'!$B$41:$M$41,0)),
IFERROR(INDEX('Control - Grain dscf'!$C$11:$N$27,MATCH(F$97,'Control - Grain dscf'!$B$11:$B$27,0),MATCH($Q72,'Control - Grain dscf'!$C$32:$N$32,0)),
IFERROR(INDEX('Control - Alt'!$C$9:$O$27,MATCH(F$97,'Control - Alt'!$B$9:$B$27,0),MATCH($Q72,'Control - Alt'!$C$32:$O$32,0)),
IFERROR(INDEX(Stockpile!$C$10:$M$26,MATCH(F$97,Stockpile!$B$10:$B$26,0),MATCH($Q72,Stockpile!$C$30:$M$30,0)),
IFERROR(INDEX('Asphalt Silo &amp; Unloading'!$D$10:$M$44,MATCH(F$97,'Asphalt Silo &amp; Unloading'!$B$10:$B$44,0),MATCH($Q72,'Asphalt Silo &amp; Unloading'!$D$49:$M$49,0)),""))))))</f>
        <v/>
      </c>
      <c r="G72" s="590" t="str">
        <f>IFERROR(INDEX('Material Handling'!$C$10:$AH$33,MATCH(G$97,Material_Handling[Data],0),MATCH($Q72,'Material Handling'!$C$40:$AH$40,0)), IFERROR(INDEX('Drop Point'!$B$13:$M$36,MATCH(G$97,'Drop Point'!$B$13:$B$37,0),MATCH($Q72,'Drop Point'!$B$41:$M$41,0)),
IFERROR(INDEX('Control - Grain dscf'!$C$11:$N$27,MATCH(G$97,'Control - Grain dscf'!$B$11:$B$27,0),MATCH($Q72,'Control - Grain dscf'!$C$32:$N$32,0)),
IFERROR(INDEX('Control - Alt'!$C$9:$O$27,MATCH(G$97,'Control - Alt'!$B$9:$B$27,0),MATCH($Q72,'Control - Alt'!$C$32:$O$32,0)),
IFERROR(INDEX(Stockpile!$C$10:$M$26,MATCH(G$97,Stockpile!$B$10:$B$26,0),MATCH($Q72,Stockpile!$C$30:$M$30,0)),
IFERROR(INDEX('Asphalt Silo &amp; Unloading'!$D$10:$M$44,MATCH(G$97,'Asphalt Silo &amp; Unloading'!$B$10:$B$44,0),MATCH($Q72,'Asphalt Silo &amp; Unloading'!$D$49:$M$49,0)),""))))))</f>
        <v/>
      </c>
      <c r="H72" s="590" t="str">
        <f>IFERROR(INDEX('Material Handling'!$C$10:$AH$33,MATCH(H$97,Material_Handling[Data],0),MATCH($Q72,'Material Handling'!$C$40:$AH$40,0)), IFERROR(INDEX('Drop Point'!$B$13:$M$36,MATCH(H$97,'Drop Point'!$B$13:$B$37,0),MATCH($Q72,'Drop Point'!$B$41:$M$41,0)),
IFERROR(INDEX('Control - Grain dscf'!$C$11:$N$27,MATCH(H$97,'Control - Grain dscf'!$B$11:$B$27,0),MATCH($Q72,'Control - Grain dscf'!$C$32:$N$32,0)),
IFERROR(INDEX('Control - Alt'!$C$9:$O$27,MATCH(H$97,'Control - Alt'!$B$9:$B$27,0),MATCH($Q72,'Control - Alt'!$C$32:$O$32,0)),
IFERROR(INDEX(Stockpile!$C$10:$M$26,MATCH(H$97,Stockpile!$B$10:$B$26,0),MATCH($Q72,Stockpile!$C$30:$M$30,0)),
IFERROR(INDEX('Asphalt Silo &amp; Unloading'!$D$10:$M$44,MATCH(H$97,'Asphalt Silo &amp; Unloading'!$B$10:$B$44,0),MATCH($Q72,'Asphalt Silo &amp; Unloading'!$D$49:$M$49,0)),""))))))</f>
        <v/>
      </c>
      <c r="I72" s="590" t="str">
        <f>IFERROR(INDEX('Material Handling'!$C$10:$AH$33,MATCH(I$97,Material_Handling[Data],0),MATCH($Q72,'Material Handling'!$C$40:$AH$40,0)), IFERROR(INDEX('Drop Point'!$B$13:$M$36,MATCH(I$97,'Drop Point'!$B$13:$B$37,0),MATCH($Q72,'Drop Point'!$B$41:$M$41,0)),
IFERROR(INDEX('Control - Grain dscf'!$C$11:$N$27,MATCH(I$97,'Control - Grain dscf'!$B$11:$B$27,0),MATCH($Q72,'Control - Grain dscf'!$C$32:$N$32,0)),
IFERROR(INDEX('Control - Alt'!$C$9:$O$27,MATCH(I$97,'Control - Alt'!$B$9:$B$27,0),MATCH($Q72,'Control - Alt'!$C$32:$O$32,0)),
IFERROR(INDEX(Stockpile!$C$10:$M$26,MATCH(I$97,Stockpile!$B$10:$B$26,0),MATCH($Q72,Stockpile!$C$30:$M$30,0)),
IFERROR(INDEX('Asphalt Silo &amp; Unloading'!$D$10:$M$44,MATCH(I$97,'Asphalt Silo &amp; Unloading'!$B$10:$B$44,0),MATCH($Q72,'Asphalt Silo &amp; Unloading'!$D$49:$M$49,0)),""))))))</f>
        <v/>
      </c>
      <c r="J72" s="590" t="str">
        <f>IFERROR(INDEX('Material Handling'!$C$10:$AH$33,MATCH(J$97,Material_Handling[Data],0),MATCH($Q72,'Material Handling'!$C$40:$AH$40,0)), IFERROR(INDEX('Drop Point'!$B$13:$M$36,MATCH(J$97,'Drop Point'!$B$13:$B$37,0),MATCH($Q72,'Drop Point'!$B$41:$M$41,0)),
IFERROR(INDEX('Control - Grain dscf'!$C$11:$N$27,MATCH(J$97,'Control - Grain dscf'!$B$11:$B$27,0),MATCH($Q72,'Control - Grain dscf'!$C$32:$N$32,0)),
IFERROR(INDEX('Control - Alt'!$C$9:$O$27,MATCH(J$97,'Control - Alt'!$B$9:$B$27,0),MATCH($Q72,'Control - Alt'!$C$32:$O$32,0)),
IFERROR(INDEX(Stockpile!$C$10:$M$26,MATCH(J$97,Stockpile!$B$10:$B$26,0),MATCH($Q72,Stockpile!$C$30:$M$30,0)),
IFERROR(INDEX('Asphalt Silo &amp; Unloading'!$D$10:$M$44,MATCH(J$97,'Asphalt Silo &amp; Unloading'!$B$10:$B$44,0),MATCH($Q72,'Asphalt Silo &amp; Unloading'!$D$49:$M$49,0)),""))))))</f>
        <v/>
      </c>
      <c r="K72" s="590" t="str">
        <f>IFERROR(INDEX('Material Handling'!$C$10:$AH$33,MATCH(K$97,Material_Handling[Data],0),MATCH($Q72,'Material Handling'!$C$40:$AH$40,0)), IFERROR(INDEX('Drop Point'!$B$13:$M$36,MATCH(K$97,'Drop Point'!$B$13:$B$37,0),MATCH($Q72,'Drop Point'!$B$41:$M$41,0)),
IFERROR(INDEX('Control - Grain dscf'!$C$11:$N$27,MATCH(K$97,'Control - Grain dscf'!$B$11:$B$27,0),MATCH($Q72,'Control - Grain dscf'!$C$32:$N$32,0)),
IFERROR(INDEX('Control - Alt'!$C$9:$O$27,MATCH(K$97,'Control - Alt'!$B$9:$B$27,0),MATCH($Q72,'Control - Alt'!$C$32:$O$32,0)),
IFERROR(INDEX(Stockpile!$C$10:$M$26,MATCH(K$97,Stockpile!$B$10:$B$26,0),MATCH($Q72,Stockpile!$C$30:$M$30,0)),
IFERROR(INDEX('Asphalt Silo &amp; Unloading'!$D$10:$M$44,MATCH(K$97,'Asphalt Silo &amp; Unloading'!$B$10:$B$44,0),MATCH($Q72,'Asphalt Silo &amp; Unloading'!$D$49:$M$49,0)),""))))))</f>
        <v/>
      </c>
      <c r="L72" s="590" t="str">
        <f>IFERROR(INDEX('Material Handling'!$C$10:$AH$33,MATCH(L$97,Material_Handling[Data],0),MATCH($Q72,'Material Handling'!$C$40:$AH$40,0)), IFERROR(INDEX('Drop Point'!$B$13:$M$36,MATCH(L$97,'Drop Point'!$B$13:$B$37,0),MATCH($Q72,'Drop Point'!$B$41:$M$41,0)),
IFERROR(INDEX('Control - Grain dscf'!$C$11:$N$27,MATCH(L$97,'Control - Grain dscf'!$B$11:$B$27,0),MATCH($Q72,'Control - Grain dscf'!$C$32:$N$32,0)),
IFERROR(INDEX('Control - Alt'!$C$9:$O$27,MATCH(L$97,'Control - Alt'!$B$9:$B$27,0),MATCH($Q72,'Control - Alt'!$C$32:$O$32,0)),
IFERROR(INDEX(Stockpile!$C$10:$M$26,MATCH(L$97,Stockpile!$B$10:$B$26,0),MATCH($Q72,Stockpile!$C$30:$M$30,0)),
IFERROR(INDEX('Asphalt Silo &amp; Unloading'!$D$10:$M$44,MATCH(L$97,'Asphalt Silo &amp; Unloading'!$B$10:$B$44,0),MATCH($Q72,'Asphalt Silo &amp; Unloading'!$D$49:$M$49,0)),""))))))</f>
        <v/>
      </c>
      <c r="M72" s="590" t="str">
        <f>IFERROR(INDEX('Material Handling'!$C$10:$AH$33,MATCH(M$97,Material_Handling[Data],0),MATCH($Q72,'Material Handling'!$C$40:$AH$40,0)), IFERROR(INDEX('Drop Point'!$B$13:$M$36,MATCH(M$97,'Drop Point'!$B$13:$B$37,0),MATCH($Q72,'Drop Point'!$B$41:$M$41,0)),
IFERROR(INDEX('Control - Grain dscf'!$C$11:$N$27,MATCH(M$97,'Control - Grain dscf'!$B$11:$B$27,0),MATCH($Q72,'Control - Grain dscf'!$C$32:$N$32,0)),
IFERROR(INDEX('Control - Alt'!$C$9:$O$27,MATCH(M$97,'Control - Alt'!$B$9:$B$27,0),MATCH($Q72,'Control - Alt'!$C$32:$O$32,0)),
IFERROR(INDEX(Stockpile!$C$10:$M$26,MATCH(M$97,Stockpile!$B$10:$B$26,0),MATCH($Q72,Stockpile!$C$30:$M$30,0)),
IFERROR(INDEX('Asphalt Silo &amp; Unloading'!$D$10:$M$44,MATCH(M$97,'Asphalt Silo &amp; Unloading'!$B$10:$B$44,0),MATCH($Q72,'Asphalt Silo &amp; Unloading'!$D$49:$M$49,0)),""))))))</f>
        <v/>
      </c>
      <c r="N72" s="590" t="str">
        <f>IFERROR(INDEX('Material Handling'!$C$10:$AH$33,MATCH(N$97,Material_Handling[Data],0),MATCH($Q72,'Material Handling'!$C$40:$AH$40,0)), IFERROR(INDEX('Drop Point'!$B$13:$M$36,MATCH(N$97,'Drop Point'!$B$13:$B$37,0),MATCH($Q72,'Drop Point'!$B$41:$M$41,0)),
IFERROR(INDEX('Control - Grain dscf'!$C$11:$N$27,MATCH(N$97,'Control - Grain dscf'!$B$11:$B$27,0),MATCH($Q72,'Control - Grain dscf'!$C$32:$N$32,0)),
IFERROR(INDEX('Control - Alt'!$C$9:$O$27,MATCH(N$97,'Control - Alt'!$B$9:$B$27,0),MATCH($Q72,'Control - Alt'!$C$32:$O$32,0)),
IFERROR(INDEX(Stockpile!$C$10:$M$26,MATCH(N$97,Stockpile!$B$10:$B$26,0),MATCH($Q72,Stockpile!$C$30:$M$30,0)),
IFERROR(INDEX('Asphalt Silo &amp; Unloading'!$D$10:$M$44,MATCH(N$97,'Asphalt Silo &amp; Unloading'!$B$10:$B$44,0),MATCH($Q72,'Asphalt Silo &amp; Unloading'!$D$49:$M$49,0)),""))))))</f>
        <v/>
      </c>
      <c r="O72" s="591" t="str">
        <f>IFERROR(INDEX('Material Handling'!$C$10:$AH$33,MATCH(O$97,Material_Handling[Data],0),MATCH($Q72,'Material Handling'!$C$40:$AH$40,0)), IFERROR(INDEX('Drop Point'!$B$13:$M$36,MATCH(O$97,'Drop Point'!$B$13:$B$37,0),MATCH($Q72,'Drop Point'!$B$41:$M$41,0)),
IFERROR(INDEX('Control - Grain dscf'!$C$11:$N$27,MATCH(O$97,'Control - Grain dscf'!$B$11:$B$27,0),MATCH($Q72,'Control - Grain dscf'!$C$32:$N$32,0)),
IFERROR(INDEX('Control - Alt'!$C$9:$O$27,MATCH(O$97,'Control - Alt'!$B$9:$B$27,0),MATCH($Q72,'Control - Alt'!$C$32:$O$32,0)),
IFERROR(INDEX(Stockpile!$C$10:$M$26,MATCH(O$97,Stockpile!$B$10:$B$26,0),MATCH($Q72,Stockpile!$C$30:$M$30,0)),
IFERROR(INDEX('Asphalt Silo &amp; Unloading'!$D$10:$M$44,MATCH(O$97,'Asphalt Silo &amp; Unloading'!$B$10:$B$44,0),MATCH($Q72,'Asphalt Silo &amp; Unloading'!$D$49:$M$49,0)),""))))))</f>
        <v/>
      </c>
      <c r="Q72" s="131">
        <f t="shared" si="1"/>
        <v>64</v>
      </c>
    </row>
    <row r="73" spans="1:17" ht="20.100000000000001" customHeight="1">
      <c r="A73" s="293" t="str">
        <f>IFERROR(INDEX('Material Handling'!$C$10:$AH$33,MATCH(A$97,Material_Handling[Data],0),MATCH($Q73,'Material Handling'!$C$40:$AH$40,0)), IFERROR(INDEX('Drop Point'!$B$13:$M$36,MATCH(A$97,'Drop Point'!$B$13:$B$37,0),MATCH($Q73,'Drop Point'!$B$41:$M$41,0)),
IFERROR(INDEX('Control - Grain dscf'!$C$11:$N$27,MATCH(A$97,'Control - Grain dscf'!$B$11:$B$27,0),MATCH($Q73,'Control - Grain dscf'!$C$32:$N$32,0)),
IFERROR(INDEX('Control - Alt'!$C$9:$O$27,MATCH(A$97,'Control - Alt'!$B$9:$B$27,0),MATCH($Q73,'Control - Alt'!$C$32:$O$32,0)),
IFERROR(INDEX(Stockpile!$C$10:$M$26,MATCH(A$97,Stockpile!$B$10:$B$26,0),MATCH($Q73,Stockpile!$C$30:$M$30,0)),
IFERROR(INDEX('Asphalt Silo &amp; Unloading'!$D$10:$M$44,MATCH(A$97,'Asphalt Silo &amp; Unloading'!$B$10:$B$44,0),MATCH($Q73,'Asphalt Silo &amp; Unloading'!$D$49:$M$49,0)),""))))))</f>
        <v/>
      </c>
      <c r="B73" s="135" t="str">
        <f>IFERROR(INDEX('Material Handling'!$C$10:$AH$33,MATCH(B$97,Material_Handling[Data],0),MATCH($Q73,'Material Handling'!$C$40:$AH$40,0)), IFERROR(INDEX('Drop Point'!$B$13:$M$36,MATCH(B$97,'Drop Point'!$B$13:$B$37,0),MATCH($Q73,'Drop Point'!$B$41:$M$41,0)),
IFERROR(INDEX('Control - Grain dscf'!$C$11:$N$27,MATCH(B$97,'Control - Grain dscf'!$B$11:$B$27,0),MATCH($Q73,'Control - Grain dscf'!$C$32:$N$32,0)),
IFERROR(INDEX('Control - Alt'!$C$9:$O$27,MATCH(B$97,'Control - Alt'!$B$9:$B$27,0),MATCH($Q73,'Control - Alt'!$C$32:$O$32,0)),
IFERROR(INDEX(Stockpile!$C$10:$M$26,MATCH(B$97,Stockpile!$B$10:$B$26,0),MATCH($Q73,Stockpile!$C$30:$M$30,0)),
IFERROR(INDEX('Asphalt Silo &amp; Unloading'!$D$10:$M$44,MATCH(B$97,'Asphalt Silo &amp; Unloading'!$B$10:$B$44,0),MATCH($Q73,'Asphalt Silo &amp; Unloading'!$D$49:$M$49,0)),""))))))</f>
        <v/>
      </c>
      <c r="C73" s="135" t="str">
        <f>IFERROR(INDEX('Material Handling'!$C$10:$AH$33,MATCH(C$97,Material_Handling[Data],0),MATCH($Q73,'Material Handling'!$C$40:$AH$40,0)), IFERROR(INDEX('Drop Point'!$B$13:$M$36,MATCH(C$97,'Drop Point'!$B$13:$B$37,0),MATCH($Q73,'Drop Point'!$B$41:$M$41,0)),
IFERROR(INDEX('Control - Grain dscf'!$C$11:$N$27,MATCH(C$97,'Control - Grain dscf'!$B$11:$B$27,0),MATCH($Q73,'Control - Grain dscf'!$C$32:$N$32,0)),
IFERROR(INDEX('Control - Alt'!$C$9:$O$27,MATCH(C$97,'Control - Alt'!$B$9:$B$27,0),MATCH($Q73,'Control - Alt'!$C$32:$O$32,0)),
IFERROR(INDEX(Stockpile!$C$10:$M$26,MATCH(C$97,Stockpile!$B$10:$B$26,0),MATCH($Q73,Stockpile!$C$30:$M$30,0)),
IFERROR(INDEX('Asphalt Silo &amp; Unloading'!$D$10:$M$44,MATCH(C$97,'Asphalt Silo &amp; Unloading'!$B$10:$B$44,0),MATCH($Q73,'Asphalt Silo &amp; Unloading'!$D$49:$M$49,0)),""))))))</f>
        <v/>
      </c>
      <c r="D73" s="135" t="str">
        <f>IFERROR(INDEX('Material Handling'!$C$10:$AH$33,MATCH(D$97,Material_Handling[Data],0),MATCH($Q73,'Material Handling'!$C$40:$AH$40,0)), IFERROR(INDEX('Drop Point'!$B$13:$M$36,MATCH(D$97,'Drop Point'!$B$13:$B$37,0),MATCH($Q73,'Drop Point'!$B$41:$M$41,0)),
IFERROR(INDEX('Control - Grain dscf'!$C$11:$N$27,MATCH(D$97,'Control - Grain dscf'!$B$11:$B$27,0),MATCH($Q73,'Control - Grain dscf'!$C$32:$N$32,0)),
IFERROR(INDEX('Control - Alt'!$C$9:$O$27,MATCH(D$97,'Control - Alt'!$B$9:$B$27,0),MATCH($Q73,'Control - Alt'!$C$32:$O$32,0)),
IFERROR(INDEX(Stockpile!$C$10:$M$26,MATCH(D$97,Stockpile!$B$10:$B$26,0),MATCH($Q73,Stockpile!$C$30:$M$30,0)),
IFERROR(INDEX('Asphalt Silo &amp; Unloading'!$D$10:$M$44,MATCH(D$97,'Asphalt Silo &amp; Unloading'!$B$10:$B$44,0),MATCH($Q73,'Asphalt Silo &amp; Unloading'!$D$49:$M$49,0)),""))))))</f>
        <v/>
      </c>
      <c r="E73" s="620" t="str">
        <f>IFERROR(INDEX('Material Handling'!$C$10:$AH$33,MATCH(E$97,Material_Handling[Data],0),MATCH($Q73,'Material Handling'!$C$40:$AH$40,0)), IFERROR(INDEX('Drop Point'!$B$13:$M$36,MATCH(E$97,'Drop Point'!$B$13:$B$37,0),MATCH($Q73,'Drop Point'!$B$41:$M$41,0)),
IFERROR(INDEX('Control - Grain dscf'!$C$11:$N$27,MATCH(E$97,'Control - Grain dscf'!$B$11:$B$27,0),MATCH($Q73,'Control - Grain dscf'!$C$32:$N$32,0)),
IFERROR(INDEX('Control - Alt'!$C$9:$O$27,MATCH(E$97,'Control - Alt'!$B$9:$B$27,0),MATCH($Q73,'Control - Alt'!$C$32:$O$32,0)),
IFERROR(INDEX(Stockpile!$C$10:$M$26,MATCH(E$97,Stockpile!$B$10:$B$26,0),MATCH($Q73,Stockpile!$C$30:$M$30,0)),
IFERROR(INDEX('Asphalt Silo &amp; Unloading'!$D$10:$M$44,MATCH(E$97,'Asphalt Silo &amp; Unloading'!$B$10:$B$44,0),MATCH($Q73,'Asphalt Silo &amp; Unloading'!$D$49:$M$49,0)),""))))))</f>
        <v/>
      </c>
      <c r="F73" s="590" t="str">
        <f>IFERROR(INDEX('Material Handling'!$C$10:$AH$33,MATCH(F$97,Material_Handling[Data],0),MATCH($Q73,'Material Handling'!$C$40:$AH$40,0)), IFERROR(INDEX('Drop Point'!$B$13:$M$36,MATCH(F$97,'Drop Point'!$B$13:$B$37,0),MATCH($Q73,'Drop Point'!$B$41:$M$41,0)),
IFERROR(INDEX('Control - Grain dscf'!$C$11:$N$27,MATCH(F$97,'Control - Grain dscf'!$B$11:$B$27,0),MATCH($Q73,'Control - Grain dscf'!$C$32:$N$32,0)),
IFERROR(INDEX('Control - Alt'!$C$9:$O$27,MATCH(F$97,'Control - Alt'!$B$9:$B$27,0),MATCH($Q73,'Control - Alt'!$C$32:$O$32,0)),
IFERROR(INDEX(Stockpile!$C$10:$M$26,MATCH(F$97,Stockpile!$B$10:$B$26,0),MATCH($Q73,Stockpile!$C$30:$M$30,0)),
IFERROR(INDEX('Asphalt Silo &amp; Unloading'!$D$10:$M$44,MATCH(F$97,'Asphalt Silo &amp; Unloading'!$B$10:$B$44,0),MATCH($Q73,'Asphalt Silo &amp; Unloading'!$D$49:$M$49,0)),""))))))</f>
        <v/>
      </c>
      <c r="G73" s="590" t="str">
        <f>IFERROR(INDEX('Material Handling'!$C$10:$AH$33,MATCH(G$97,Material_Handling[Data],0),MATCH($Q73,'Material Handling'!$C$40:$AH$40,0)), IFERROR(INDEX('Drop Point'!$B$13:$M$36,MATCH(G$97,'Drop Point'!$B$13:$B$37,0),MATCH($Q73,'Drop Point'!$B$41:$M$41,0)),
IFERROR(INDEX('Control - Grain dscf'!$C$11:$N$27,MATCH(G$97,'Control - Grain dscf'!$B$11:$B$27,0),MATCH($Q73,'Control - Grain dscf'!$C$32:$N$32,0)),
IFERROR(INDEX('Control - Alt'!$C$9:$O$27,MATCH(G$97,'Control - Alt'!$B$9:$B$27,0),MATCH($Q73,'Control - Alt'!$C$32:$O$32,0)),
IFERROR(INDEX(Stockpile!$C$10:$M$26,MATCH(G$97,Stockpile!$B$10:$B$26,0),MATCH($Q73,Stockpile!$C$30:$M$30,0)),
IFERROR(INDEX('Asphalt Silo &amp; Unloading'!$D$10:$M$44,MATCH(G$97,'Asphalt Silo &amp; Unloading'!$B$10:$B$44,0),MATCH($Q73,'Asphalt Silo &amp; Unloading'!$D$49:$M$49,0)),""))))))</f>
        <v/>
      </c>
      <c r="H73" s="590" t="str">
        <f>IFERROR(INDEX('Material Handling'!$C$10:$AH$33,MATCH(H$97,Material_Handling[Data],0),MATCH($Q73,'Material Handling'!$C$40:$AH$40,0)), IFERROR(INDEX('Drop Point'!$B$13:$M$36,MATCH(H$97,'Drop Point'!$B$13:$B$37,0),MATCH($Q73,'Drop Point'!$B$41:$M$41,0)),
IFERROR(INDEX('Control - Grain dscf'!$C$11:$N$27,MATCH(H$97,'Control - Grain dscf'!$B$11:$B$27,0),MATCH($Q73,'Control - Grain dscf'!$C$32:$N$32,0)),
IFERROR(INDEX('Control - Alt'!$C$9:$O$27,MATCH(H$97,'Control - Alt'!$B$9:$B$27,0),MATCH($Q73,'Control - Alt'!$C$32:$O$32,0)),
IFERROR(INDEX(Stockpile!$C$10:$M$26,MATCH(H$97,Stockpile!$B$10:$B$26,0),MATCH($Q73,Stockpile!$C$30:$M$30,0)),
IFERROR(INDEX('Asphalt Silo &amp; Unloading'!$D$10:$M$44,MATCH(H$97,'Asphalt Silo &amp; Unloading'!$B$10:$B$44,0),MATCH($Q73,'Asphalt Silo &amp; Unloading'!$D$49:$M$49,0)),""))))))</f>
        <v/>
      </c>
      <c r="I73" s="590" t="str">
        <f>IFERROR(INDEX('Material Handling'!$C$10:$AH$33,MATCH(I$97,Material_Handling[Data],0),MATCH($Q73,'Material Handling'!$C$40:$AH$40,0)), IFERROR(INDEX('Drop Point'!$B$13:$M$36,MATCH(I$97,'Drop Point'!$B$13:$B$37,0),MATCH($Q73,'Drop Point'!$B$41:$M$41,0)),
IFERROR(INDEX('Control - Grain dscf'!$C$11:$N$27,MATCH(I$97,'Control - Grain dscf'!$B$11:$B$27,0),MATCH($Q73,'Control - Grain dscf'!$C$32:$N$32,0)),
IFERROR(INDEX('Control - Alt'!$C$9:$O$27,MATCH(I$97,'Control - Alt'!$B$9:$B$27,0),MATCH($Q73,'Control - Alt'!$C$32:$O$32,0)),
IFERROR(INDEX(Stockpile!$C$10:$M$26,MATCH(I$97,Stockpile!$B$10:$B$26,0),MATCH($Q73,Stockpile!$C$30:$M$30,0)),
IFERROR(INDEX('Asphalt Silo &amp; Unloading'!$D$10:$M$44,MATCH(I$97,'Asphalt Silo &amp; Unloading'!$B$10:$B$44,0),MATCH($Q73,'Asphalt Silo &amp; Unloading'!$D$49:$M$49,0)),""))))))</f>
        <v/>
      </c>
      <c r="J73" s="590" t="str">
        <f>IFERROR(INDEX('Material Handling'!$C$10:$AH$33,MATCH(J$97,Material_Handling[Data],0),MATCH($Q73,'Material Handling'!$C$40:$AH$40,0)), IFERROR(INDEX('Drop Point'!$B$13:$M$36,MATCH(J$97,'Drop Point'!$B$13:$B$37,0),MATCH($Q73,'Drop Point'!$B$41:$M$41,0)),
IFERROR(INDEX('Control - Grain dscf'!$C$11:$N$27,MATCH(J$97,'Control - Grain dscf'!$B$11:$B$27,0),MATCH($Q73,'Control - Grain dscf'!$C$32:$N$32,0)),
IFERROR(INDEX('Control - Alt'!$C$9:$O$27,MATCH(J$97,'Control - Alt'!$B$9:$B$27,0),MATCH($Q73,'Control - Alt'!$C$32:$O$32,0)),
IFERROR(INDEX(Stockpile!$C$10:$M$26,MATCH(J$97,Stockpile!$B$10:$B$26,0),MATCH($Q73,Stockpile!$C$30:$M$30,0)),
IFERROR(INDEX('Asphalt Silo &amp; Unloading'!$D$10:$M$44,MATCH(J$97,'Asphalt Silo &amp; Unloading'!$B$10:$B$44,0),MATCH($Q73,'Asphalt Silo &amp; Unloading'!$D$49:$M$49,0)),""))))))</f>
        <v/>
      </c>
      <c r="K73" s="590" t="str">
        <f>IFERROR(INDEX('Material Handling'!$C$10:$AH$33,MATCH(K$97,Material_Handling[Data],0),MATCH($Q73,'Material Handling'!$C$40:$AH$40,0)), IFERROR(INDEX('Drop Point'!$B$13:$M$36,MATCH(K$97,'Drop Point'!$B$13:$B$37,0),MATCH($Q73,'Drop Point'!$B$41:$M$41,0)),
IFERROR(INDEX('Control - Grain dscf'!$C$11:$N$27,MATCH(K$97,'Control - Grain dscf'!$B$11:$B$27,0),MATCH($Q73,'Control - Grain dscf'!$C$32:$N$32,0)),
IFERROR(INDEX('Control - Alt'!$C$9:$O$27,MATCH(K$97,'Control - Alt'!$B$9:$B$27,0),MATCH($Q73,'Control - Alt'!$C$32:$O$32,0)),
IFERROR(INDEX(Stockpile!$C$10:$M$26,MATCH(K$97,Stockpile!$B$10:$B$26,0),MATCH($Q73,Stockpile!$C$30:$M$30,0)),
IFERROR(INDEX('Asphalt Silo &amp; Unloading'!$D$10:$M$44,MATCH(K$97,'Asphalt Silo &amp; Unloading'!$B$10:$B$44,0),MATCH($Q73,'Asphalt Silo &amp; Unloading'!$D$49:$M$49,0)),""))))))</f>
        <v/>
      </c>
      <c r="L73" s="590" t="str">
        <f>IFERROR(INDEX('Material Handling'!$C$10:$AH$33,MATCH(L$97,Material_Handling[Data],0),MATCH($Q73,'Material Handling'!$C$40:$AH$40,0)), IFERROR(INDEX('Drop Point'!$B$13:$M$36,MATCH(L$97,'Drop Point'!$B$13:$B$37,0),MATCH($Q73,'Drop Point'!$B$41:$M$41,0)),
IFERROR(INDEX('Control - Grain dscf'!$C$11:$N$27,MATCH(L$97,'Control - Grain dscf'!$B$11:$B$27,0),MATCH($Q73,'Control - Grain dscf'!$C$32:$N$32,0)),
IFERROR(INDEX('Control - Alt'!$C$9:$O$27,MATCH(L$97,'Control - Alt'!$B$9:$B$27,0),MATCH($Q73,'Control - Alt'!$C$32:$O$32,0)),
IFERROR(INDEX(Stockpile!$C$10:$M$26,MATCH(L$97,Stockpile!$B$10:$B$26,0),MATCH($Q73,Stockpile!$C$30:$M$30,0)),
IFERROR(INDEX('Asphalt Silo &amp; Unloading'!$D$10:$M$44,MATCH(L$97,'Asphalt Silo &amp; Unloading'!$B$10:$B$44,0),MATCH($Q73,'Asphalt Silo &amp; Unloading'!$D$49:$M$49,0)),""))))))</f>
        <v/>
      </c>
      <c r="M73" s="590" t="str">
        <f>IFERROR(INDEX('Material Handling'!$C$10:$AH$33,MATCH(M$97,Material_Handling[Data],0),MATCH($Q73,'Material Handling'!$C$40:$AH$40,0)), IFERROR(INDEX('Drop Point'!$B$13:$M$36,MATCH(M$97,'Drop Point'!$B$13:$B$37,0),MATCH($Q73,'Drop Point'!$B$41:$M$41,0)),
IFERROR(INDEX('Control - Grain dscf'!$C$11:$N$27,MATCH(M$97,'Control - Grain dscf'!$B$11:$B$27,0),MATCH($Q73,'Control - Grain dscf'!$C$32:$N$32,0)),
IFERROR(INDEX('Control - Alt'!$C$9:$O$27,MATCH(M$97,'Control - Alt'!$B$9:$B$27,0),MATCH($Q73,'Control - Alt'!$C$32:$O$32,0)),
IFERROR(INDEX(Stockpile!$C$10:$M$26,MATCH(M$97,Stockpile!$B$10:$B$26,0),MATCH($Q73,Stockpile!$C$30:$M$30,0)),
IFERROR(INDEX('Asphalt Silo &amp; Unloading'!$D$10:$M$44,MATCH(M$97,'Asphalt Silo &amp; Unloading'!$B$10:$B$44,0),MATCH($Q73,'Asphalt Silo &amp; Unloading'!$D$49:$M$49,0)),""))))))</f>
        <v/>
      </c>
      <c r="N73" s="590" t="str">
        <f>IFERROR(INDEX('Material Handling'!$C$10:$AH$33,MATCH(N$97,Material_Handling[Data],0),MATCH($Q73,'Material Handling'!$C$40:$AH$40,0)), IFERROR(INDEX('Drop Point'!$B$13:$M$36,MATCH(N$97,'Drop Point'!$B$13:$B$37,0),MATCH($Q73,'Drop Point'!$B$41:$M$41,0)),
IFERROR(INDEX('Control - Grain dscf'!$C$11:$N$27,MATCH(N$97,'Control - Grain dscf'!$B$11:$B$27,0),MATCH($Q73,'Control - Grain dscf'!$C$32:$N$32,0)),
IFERROR(INDEX('Control - Alt'!$C$9:$O$27,MATCH(N$97,'Control - Alt'!$B$9:$B$27,0),MATCH($Q73,'Control - Alt'!$C$32:$O$32,0)),
IFERROR(INDEX(Stockpile!$C$10:$M$26,MATCH(N$97,Stockpile!$B$10:$B$26,0),MATCH($Q73,Stockpile!$C$30:$M$30,0)),
IFERROR(INDEX('Asphalt Silo &amp; Unloading'!$D$10:$M$44,MATCH(N$97,'Asphalt Silo &amp; Unloading'!$B$10:$B$44,0),MATCH($Q73,'Asphalt Silo &amp; Unloading'!$D$49:$M$49,0)),""))))))</f>
        <v/>
      </c>
      <c r="O73" s="591" t="str">
        <f>IFERROR(INDEX('Material Handling'!$C$10:$AH$33,MATCH(O$97,Material_Handling[Data],0),MATCH($Q73,'Material Handling'!$C$40:$AH$40,0)), IFERROR(INDEX('Drop Point'!$B$13:$M$36,MATCH(O$97,'Drop Point'!$B$13:$B$37,0),MATCH($Q73,'Drop Point'!$B$41:$M$41,0)),
IFERROR(INDEX('Control - Grain dscf'!$C$11:$N$27,MATCH(O$97,'Control - Grain dscf'!$B$11:$B$27,0),MATCH($Q73,'Control - Grain dscf'!$C$32:$N$32,0)),
IFERROR(INDEX('Control - Alt'!$C$9:$O$27,MATCH(O$97,'Control - Alt'!$B$9:$B$27,0),MATCH($Q73,'Control - Alt'!$C$32:$O$32,0)),
IFERROR(INDEX(Stockpile!$C$10:$M$26,MATCH(O$97,Stockpile!$B$10:$B$26,0),MATCH($Q73,Stockpile!$C$30:$M$30,0)),
IFERROR(INDEX('Asphalt Silo &amp; Unloading'!$D$10:$M$44,MATCH(O$97,'Asphalt Silo &amp; Unloading'!$B$10:$B$44,0),MATCH($Q73,'Asphalt Silo &amp; Unloading'!$D$49:$M$49,0)),""))))))</f>
        <v/>
      </c>
      <c r="Q73" s="131">
        <f t="shared" si="1"/>
        <v>65</v>
      </c>
    </row>
    <row r="74" spans="1:17" ht="20.100000000000001" customHeight="1">
      <c r="A74" s="293" t="str">
        <f>IFERROR(INDEX('Material Handling'!$C$10:$AH$33,MATCH(A$97,Material_Handling[Data],0),MATCH($Q74,'Material Handling'!$C$40:$AH$40,0)), IFERROR(INDEX('Drop Point'!$B$13:$M$36,MATCH(A$97,'Drop Point'!$B$13:$B$37,0),MATCH($Q74,'Drop Point'!$B$41:$M$41,0)),
IFERROR(INDEX('Control - Grain dscf'!$C$11:$N$27,MATCH(A$97,'Control - Grain dscf'!$B$11:$B$27,0),MATCH($Q74,'Control - Grain dscf'!$C$32:$N$32,0)),
IFERROR(INDEX('Control - Alt'!$C$9:$O$27,MATCH(A$97,'Control - Alt'!$B$9:$B$27,0),MATCH($Q74,'Control - Alt'!$C$32:$O$32,0)),
IFERROR(INDEX(Stockpile!$C$10:$M$26,MATCH(A$97,Stockpile!$B$10:$B$26,0),MATCH($Q74,Stockpile!$C$30:$M$30,0)),
IFERROR(INDEX('Asphalt Silo &amp; Unloading'!$D$10:$M$44,MATCH(A$97,'Asphalt Silo &amp; Unloading'!$B$10:$B$44,0),MATCH($Q74,'Asphalt Silo &amp; Unloading'!$D$49:$M$49,0)),""))))))</f>
        <v/>
      </c>
      <c r="B74" s="135" t="str">
        <f>IFERROR(INDEX('Material Handling'!$C$10:$AH$33,MATCH(B$97,Material_Handling[Data],0),MATCH($Q74,'Material Handling'!$C$40:$AH$40,0)), IFERROR(INDEX('Drop Point'!$B$13:$M$36,MATCH(B$97,'Drop Point'!$B$13:$B$37,0),MATCH($Q74,'Drop Point'!$B$41:$M$41,0)),
IFERROR(INDEX('Control - Grain dscf'!$C$11:$N$27,MATCH(B$97,'Control - Grain dscf'!$B$11:$B$27,0),MATCH($Q74,'Control - Grain dscf'!$C$32:$N$32,0)),
IFERROR(INDEX('Control - Alt'!$C$9:$O$27,MATCH(B$97,'Control - Alt'!$B$9:$B$27,0),MATCH($Q74,'Control - Alt'!$C$32:$O$32,0)),
IFERROR(INDEX(Stockpile!$C$10:$M$26,MATCH(B$97,Stockpile!$B$10:$B$26,0),MATCH($Q74,Stockpile!$C$30:$M$30,0)),
IFERROR(INDEX('Asphalt Silo &amp; Unloading'!$D$10:$M$44,MATCH(B$97,'Asphalt Silo &amp; Unloading'!$B$10:$B$44,0),MATCH($Q74,'Asphalt Silo &amp; Unloading'!$D$49:$M$49,0)),""))))))</f>
        <v/>
      </c>
      <c r="C74" s="135" t="str">
        <f>IFERROR(INDEX('Material Handling'!$C$10:$AH$33,MATCH(C$97,Material_Handling[Data],0),MATCH($Q74,'Material Handling'!$C$40:$AH$40,0)), IFERROR(INDEX('Drop Point'!$B$13:$M$36,MATCH(C$97,'Drop Point'!$B$13:$B$37,0),MATCH($Q74,'Drop Point'!$B$41:$M$41,0)),
IFERROR(INDEX('Control - Grain dscf'!$C$11:$N$27,MATCH(C$97,'Control - Grain dscf'!$B$11:$B$27,0),MATCH($Q74,'Control - Grain dscf'!$C$32:$N$32,0)),
IFERROR(INDEX('Control - Alt'!$C$9:$O$27,MATCH(C$97,'Control - Alt'!$B$9:$B$27,0),MATCH($Q74,'Control - Alt'!$C$32:$O$32,0)),
IFERROR(INDEX(Stockpile!$C$10:$M$26,MATCH(C$97,Stockpile!$B$10:$B$26,0),MATCH($Q74,Stockpile!$C$30:$M$30,0)),
IFERROR(INDEX('Asphalt Silo &amp; Unloading'!$D$10:$M$44,MATCH(C$97,'Asphalt Silo &amp; Unloading'!$B$10:$B$44,0),MATCH($Q74,'Asphalt Silo &amp; Unloading'!$D$49:$M$49,0)),""))))))</f>
        <v/>
      </c>
      <c r="D74" s="135" t="str">
        <f>IFERROR(INDEX('Material Handling'!$C$10:$AH$33,MATCH(D$97,Material_Handling[Data],0),MATCH($Q74,'Material Handling'!$C$40:$AH$40,0)), IFERROR(INDEX('Drop Point'!$B$13:$M$36,MATCH(D$97,'Drop Point'!$B$13:$B$37,0),MATCH($Q74,'Drop Point'!$B$41:$M$41,0)),
IFERROR(INDEX('Control - Grain dscf'!$C$11:$N$27,MATCH(D$97,'Control - Grain dscf'!$B$11:$B$27,0),MATCH($Q74,'Control - Grain dscf'!$C$32:$N$32,0)),
IFERROR(INDEX('Control - Alt'!$C$9:$O$27,MATCH(D$97,'Control - Alt'!$B$9:$B$27,0),MATCH($Q74,'Control - Alt'!$C$32:$O$32,0)),
IFERROR(INDEX(Stockpile!$C$10:$M$26,MATCH(D$97,Stockpile!$B$10:$B$26,0),MATCH($Q74,Stockpile!$C$30:$M$30,0)),
IFERROR(INDEX('Asphalt Silo &amp; Unloading'!$D$10:$M$44,MATCH(D$97,'Asphalt Silo &amp; Unloading'!$B$10:$B$44,0),MATCH($Q74,'Asphalt Silo &amp; Unloading'!$D$49:$M$49,0)),""))))))</f>
        <v/>
      </c>
      <c r="E74" s="620" t="str">
        <f>IFERROR(INDEX('Material Handling'!$C$10:$AH$33,MATCH(E$97,Material_Handling[Data],0),MATCH($Q74,'Material Handling'!$C$40:$AH$40,0)), IFERROR(INDEX('Drop Point'!$B$13:$M$36,MATCH(E$97,'Drop Point'!$B$13:$B$37,0),MATCH($Q74,'Drop Point'!$B$41:$M$41,0)),
IFERROR(INDEX('Control - Grain dscf'!$C$11:$N$27,MATCH(E$97,'Control - Grain dscf'!$B$11:$B$27,0),MATCH($Q74,'Control - Grain dscf'!$C$32:$N$32,0)),
IFERROR(INDEX('Control - Alt'!$C$9:$O$27,MATCH(E$97,'Control - Alt'!$B$9:$B$27,0),MATCH($Q74,'Control - Alt'!$C$32:$O$32,0)),
IFERROR(INDEX(Stockpile!$C$10:$M$26,MATCH(E$97,Stockpile!$B$10:$B$26,0),MATCH($Q74,Stockpile!$C$30:$M$30,0)),
IFERROR(INDEX('Asphalt Silo &amp; Unloading'!$D$10:$M$44,MATCH(E$97,'Asphalt Silo &amp; Unloading'!$B$10:$B$44,0),MATCH($Q74,'Asphalt Silo &amp; Unloading'!$D$49:$M$49,0)),""))))))</f>
        <v/>
      </c>
      <c r="F74" s="590" t="str">
        <f>IFERROR(INDEX('Material Handling'!$C$10:$AH$33,MATCH(F$97,Material_Handling[Data],0),MATCH($Q74,'Material Handling'!$C$40:$AH$40,0)), IFERROR(INDEX('Drop Point'!$B$13:$M$36,MATCH(F$97,'Drop Point'!$B$13:$B$37,0),MATCH($Q74,'Drop Point'!$B$41:$M$41,0)),
IFERROR(INDEX('Control - Grain dscf'!$C$11:$N$27,MATCH(F$97,'Control - Grain dscf'!$B$11:$B$27,0),MATCH($Q74,'Control - Grain dscf'!$C$32:$N$32,0)),
IFERROR(INDEX('Control - Alt'!$C$9:$O$27,MATCH(F$97,'Control - Alt'!$B$9:$B$27,0),MATCH($Q74,'Control - Alt'!$C$32:$O$32,0)),
IFERROR(INDEX(Stockpile!$C$10:$M$26,MATCH(F$97,Stockpile!$B$10:$B$26,0),MATCH($Q74,Stockpile!$C$30:$M$30,0)),
IFERROR(INDEX('Asphalt Silo &amp; Unloading'!$D$10:$M$44,MATCH(F$97,'Asphalt Silo &amp; Unloading'!$B$10:$B$44,0),MATCH($Q74,'Asphalt Silo &amp; Unloading'!$D$49:$M$49,0)),""))))))</f>
        <v/>
      </c>
      <c r="G74" s="590" t="str">
        <f>IFERROR(INDEX('Material Handling'!$C$10:$AH$33,MATCH(G$97,Material_Handling[Data],0),MATCH($Q74,'Material Handling'!$C$40:$AH$40,0)), IFERROR(INDEX('Drop Point'!$B$13:$M$36,MATCH(G$97,'Drop Point'!$B$13:$B$37,0),MATCH($Q74,'Drop Point'!$B$41:$M$41,0)),
IFERROR(INDEX('Control - Grain dscf'!$C$11:$N$27,MATCH(G$97,'Control - Grain dscf'!$B$11:$B$27,0),MATCH($Q74,'Control - Grain dscf'!$C$32:$N$32,0)),
IFERROR(INDEX('Control - Alt'!$C$9:$O$27,MATCH(G$97,'Control - Alt'!$B$9:$B$27,0),MATCH($Q74,'Control - Alt'!$C$32:$O$32,0)),
IFERROR(INDEX(Stockpile!$C$10:$M$26,MATCH(G$97,Stockpile!$B$10:$B$26,0),MATCH($Q74,Stockpile!$C$30:$M$30,0)),
IFERROR(INDEX('Asphalt Silo &amp; Unloading'!$D$10:$M$44,MATCH(G$97,'Asphalt Silo &amp; Unloading'!$B$10:$B$44,0),MATCH($Q74,'Asphalt Silo &amp; Unloading'!$D$49:$M$49,0)),""))))))</f>
        <v/>
      </c>
      <c r="H74" s="590" t="str">
        <f>IFERROR(INDEX('Material Handling'!$C$10:$AH$33,MATCH(H$97,Material_Handling[Data],0),MATCH($Q74,'Material Handling'!$C$40:$AH$40,0)), IFERROR(INDEX('Drop Point'!$B$13:$M$36,MATCH(H$97,'Drop Point'!$B$13:$B$37,0),MATCH($Q74,'Drop Point'!$B$41:$M$41,0)),
IFERROR(INDEX('Control - Grain dscf'!$C$11:$N$27,MATCH(H$97,'Control - Grain dscf'!$B$11:$B$27,0),MATCH($Q74,'Control - Grain dscf'!$C$32:$N$32,0)),
IFERROR(INDEX('Control - Alt'!$C$9:$O$27,MATCH(H$97,'Control - Alt'!$B$9:$B$27,0),MATCH($Q74,'Control - Alt'!$C$32:$O$32,0)),
IFERROR(INDEX(Stockpile!$C$10:$M$26,MATCH(H$97,Stockpile!$B$10:$B$26,0),MATCH($Q74,Stockpile!$C$30:$M$30,0)),
IFERROR(INDEX('Asphalt Silo &amp; Unloading'!$D$10:$M$44,MATCH(H$97,'Asphalt Silo &amp; Unloading'!$B$10:$B$44,0),MATCH($Q74,'Asphalt Silo &amp; Unloading'!$D$49:$M$49,0)),""))))))</f>
        <v/>
      </c>
      <c r="I74" s="590" t="str">
        <f>IFERROR(INDEX('Material Handling'!$C$10:$AH$33,MATCH(I$97,Material_Handling[Data],0),MATCH($Q74,'Material Handling'!$C$40:$AH$40,0)), IFERROR(INDEX('Drop Point'!$B$13:$M$36,MATCH(I$97,'Drop Point'!$B$13:$B$37,0),MATCH($Q74,'Drop Point'!$B$41:$M$41,0)),
IFERROR(INDEX('Control - Grain dscf'!$C$11:$N$27,MATCH(I$97,'Control - Grain dscf'!$B$11:$B$27,0),MATCH($Q74,'Control - Grain dscf'!$C$32:$N$32,0)),
IFERROR(INDEX('Control - Alt'!$C$9:$O$27,MATCH(I$97,'Control - Alt'!$B$9:$B$27,0),MATCH($Q74,'Control - Alt'!$C$32:$O$32,0)),
IFERROR(INDEX(Stockpile!$C$10:$M$26,MATCH(I$97,Stockpile!$B$10:$B$26,0),MATCH($Q74,Stockpile!$C$30:$M$30,0)),
IFERROR(INDEX('Asphalt Silo &amp; Unloading'!$D$10:$M$44,MATCH(I$97,'Asphalt Silo &amp; Unloading'!$B$10:$B$44,0),MATCH($Q74,'Asphalt Silo &amp; Unloading'!$D$49:$M$49,0)),""))))))</f>
        <v/>
      </c>
      <c r="J74" s="590" t="str">
        <f>IFERROR(INDEX('Material Handling'!$C$10:$AH$33,MATCH(J$97,Material_Handling[Data],0),MATCH($Q74,'Material Handling'!$C$40:$AH$40,0)), IFERROR(INDEX('Drop Point'!$B$13:$M$36,MATCH(J$97,'Drop Point'!$B$13:$B$37,0),MATCH($Q74,'Drop Point'!$B$41:$M$41,0)),
IFERROR(INDEX('Control - Grain dscf'!$C$11:$N$27,MATCH(J$97,'Control - Grain dscf'!$B$11:$B$27,0),MATCH($Q74,'Control - Grain dscf'!$C$32:$N$32,0)),
IFERROR(INDEX('Control - Alt'!$C$9:$O$27,MATCH(J$97,'Control - Alt'!$B$9:$B$27,0),MATCH($Q74,'Control - Alt'!$C$32:$O$32,0)),
IFERROR(INDEX(Stockpile!$C$10:$M$26,MATCH(J$97,Stockpile!$B$10:$B$26,0),MATCH($Q74,Stockpile!$C$30:$M$30,0)),
IFERROR(INDEX('Asphalt Silo &amp; Unloading'!$D$10:$M$44,MATCH(J$97,'Asphalt Silo &amp; Unloading'!$B$10:$B$44,0),MATCH($Q74,'Asphalt Silo &amp; Unloading'!$D$49:$M$49,0)),""))))))</f>
        <v/>
      </c>
      <c r="K74" s="590" t="str">
        <f>IFERROR(INDEX('Material Handling'!$C$10:$AH$33,MATCH(K$97,Material_Handling[Data],0),MATCH($Q74,'Material Handling'!$C$40:$AH$40,0)), IFERROR(INDEX('Drop Point'!$B$13:$M$36,MATCH(K$97,'Drop Point'!$B$13:$B$37,0),MATCH($Q74,'Drop Point'!$B$41:$M$41,0)),
IFERROR(INDEX('Control - Grain dscf'!$C$11:$N$27,MATCH(K$97,'Control - Grain dscf'!$B$11:$B$27,0),MATCH($Q74,'Control - Grain dscf'!$C$32:$N$32,0)),
IFERROR(INDEX('Control - Alt'!$C$9:$O$27,MATCH(K$97,'Control - Alt'!$B$9:$B$27,0),MATCH($Q74,'Control - Alt'!$C$32:$O$32,0)),
IFERROR(INDEX(Stockpile!$C$10:$M$26,MATCH(K$97,Stockpile!$B$10:$B$26,0),MATCH($Q74,Stockpile!$C$30:$M$30,0)),
IFERROR(INDEX('Asphalt Silo &amp; Unloading'!$D$10:$M$44,MATCH(K$97,'Asphalt Silo &amp; Unloading'!$B$10:$B$44,0),MATCH($Q74,'Asphalt Silo &amp; Unloading'!$D$49:$M$49,0)),""))))))</f>
        <v/>
      </c>
      <c r="L74" s="590" t="str">
        <f>IFERROR(INDEX('Material Handling'!$C$10:$AH$33,MATCH(L$97,Material_Handling[Data],0),MATCH($Q74,'Material Handling'!$C$40:$AH$40,0)), IFERROR(INDEX('Drop Point'!$B$13:$M$36,MATCH(L$97,'Drop Point'!$B$13:$B$37,0),MATCH($Q74,'Drop Point'!$B$41:$M$41,0)),
IFERROR(INDEX('Control - Grain dscf'!$C$11:$N$27,MATCH(L$97,'Control - Grain dscf'!$B$11:$B$27,0),MATCH($Q74,'Control - Grain dscf'!$C$32:$N$32,0)),
IFERROR(INDEX('Control - Alt'!$C$9:$O$27,MATCH(L$97,'Control - Alt'!$B$9:$B$27,0),MATCH($Q74,'Control - Alt'!$C$32:$O$32,0)),
IFERROR(INDEX(Stockpile!$C$10:$M$26,MATCH(L$97,Stockpile!$B$10:$B$26,0),MATCH($Q74,Stockpile!$C$30:$M$30,0)),
IFERROR(INDEX('Asphalt Silo &amp; Unloading'!$D$10:$M$44,MATCH(L$97,'Asphalt Silo &amp; Unloading'!$B$10:$B$44,0),MATCH($Q74,'Asphalt Silo &amp; Unloading'!$D$49:$M$49,0)),""))))))</f>
        <v/>
      </c>
      <c r="M74" s="590" t="str">
        <f>IFERROR(INDEX('Material Handling'!$C$10:$AH$33,MATCH(M$97,Material_Handling[Data],0),MATCH($Q74,'Material Handling'!$C$40:$AH$40,0)), IFERROR(INDEX('Drop Point'!$B$13:$M$36,MATCH(M$97,'Drop Point'!$B$13:$B$37,0),MATCH($Q74,'Drop Point'!$B$41:$M$41,0)),
IFERROR(INDEX('Control - Grain dscf'!$C$11:$N$27,MATCH(M$97,'Control - Grain dscf'!$B$11:$B$27,0),MATCH($Q74,'Control - Grain dscf'!$C$32:$N$32,0)),
IFERROR(INDEX('Control - Alt'!$C$9:$O$27,MATCH(M$97,'Control - Alt'!$B$9:$B$27,0),MATCH($Q74,'Control - Alt'!$C$32:$O$32,0)),
IFERROR(INDEX(Stockpile!$C$10:$M$26,MATCH(M$97,Stockpile!$B$10:$B$26,0),MATCH($Q74,Stockpile!$C$30:$M$30,0)),
IFERROR(INDEX('Asphalt Silo &amp; Unloading'!$D$10:$M$44,MATCH(M$97,'Asphalt Silo &amp; Unloading'!$B$10:$B$44,0),MATCH($Q74,'Asphalt Silo &amp; Unloading'!$D$49:$M$49,0)),""))))))</f>
        <v/>
      </c>
      <c r="N74" s="590" t="str">
        <f>IFERROR(INDEX('Material Handling'!$C$10:$AH$33,MATCH(N$97,Material_Handling[Data],0),MATCH($Q74,'Material Handling'!$C$40:$AH$40,0)), IFERROR(INDEX('Drop Point'!$B$13:$M$36,MATCH(N$97,'Drop Point'!$B$13:$B$37,0),MATCH($Q74,'Drop Point'!$B$41:$M$41,0)),
IFERROR(INDEX('Control - Grain dscf'!$C$11:$N$27,MATCH(N$97,'Control - Grain dscf'!$B$11:$B$27,0),MATCH($Q74,'Control - Grain dscf'!$C$32:$N$32,0)),
IFERROR(INDEX('Control - Alt'!$C$9:$O$27,MATCH(N$97,'Control - Alt'!$B$9:$B$27,0),MATCH($Q74,'Control - Alt'!$C$32:$O$32,0)),
IFERROR(INDEX(Stockpile!$C$10:$M$26,MATCH(N$97,Stockpile!$B$10:$B$26,0),MATCH($Q74,Stockpile!$C$30:$M$30,0)),
IFERROR(INDEX('Asphalt Silo &amp; Unloading'!$D$10:$M$44,MATCH(N$97,'Asphalt Silo &amp; Unloading'!$B$10:$B$44,0),MATCH($Q74,'Asphalt Silo &amp; Unloading'!$D$49:$M$49,0)),""))))))</f>
        <v/>
      </c>
      <c r="O74" s="591" t="str">
        <f>IFERROR(INDEX('Material Handling'!$C$10:$AH$33,MATCH(O$97,Material_Handling[Data],0),MATCH($Q74,'Material Handling'!$C$40:$AH$40,0)), IFERROR(INDEX('Drop Point'!$B$13:$M$36,MATCH(O$97,'Drop Point'!$B$13:$B$37,0),MATCH($Q74,'Drop Point'!$B$41:$M$41,0)),
IFERROR(INDEX('Control - Grain dscf'!$C$11:$N$27,MATCH(O$97,'Control - Grain dscf'!$B$11:$B$27,0),MATCH($Q74,'Control - Grain dscf'!$C$32:$N$32,0)),
IFERROR(INDEX('Control - Alt'!$C$9:$O$27,MATCH(O$97,'Control - Alt'!$B$9:$B$27,0),MATCH($Q74,'Control - Alt'!$C$32:$O$32,0)),
IFERROR(INDEX(Stockpile!$C$10:$M$26,MATCH(O$97,Stockpile!$B$10:$B$26,0),MATCH($Q74,Stockpile!$C$30:$M$30,0)),
IFERROR(INDEX('Asphalt Silo &amp; Unloading'!$D$10:$M$44,MATCH(O$97,'Asphalt Silo &amp; Unloading'!$B$10:$B$44,0),MATCH($Q74,'Asphalt Silo &amp; Unloading'!$D$49:$M$49,0)),""))))))</f>
        <v/>
      </c>
      <c r="Q74" s="131">
        <f t="shared" ref="Q74:Q89" si="2">Q73+1</f>
        <v>66</v>
      </c>
    </row>
    <row r="75" spans="1:17" ht="20.100000000000001" customHeight="1">
      <c r="A75" s="293" t="str">
        <f>IFERROR(INDEX('Material Handling'!$C$10:$AH$33,MATCH(A$97,Material_Handling[Data],0),MATCH($Q75,'Material Handling'!$C$40:$AH$40,0)), IFERROR(INDEX('Drop Point'!$B$13:$M$36,MATCH(A$97,'Drop Point'!$B$13:$B$37,0),MATCH($Q75,'Drop Point'!$B$41:$M$41,0)),
IFERROR(INDEX('Control - Grain dscf'!$C$11:$N$27,MATCH(A$97,'Control - Grain dscf'!$B$11:$B$27,0),MATCH($Q75,'Control - Grain dscf'!$C$32:$N$32,0)),
IFERROR(INDEX('Control - Alt'!$C$9:$O$27,MATCH(A$97,'Control - Alt'!$B$9:$B$27,0),MATCH($Q75,'Control - Alt'!$C$32:$O$32,0)),
IFERROR(INDEX(Stockpile!$C$10:$M$26,MATCH(A$97,Stockpile!$B$10:$B$26,0),MATCH($Q75,Stockpile!$C$30:$M$30,0)),
IFERROR(INDEX('Asphalt Silo &amp; Unloading'!$D$10:$M$44,MATCH(A$97,'Asphalt Silo &amp; Unloading'!$B$10:$B$44,0),MATCH($Q75,'Asphalt Silo &amp; Unloading'!$D$49:$M$49,0)),""))))))</f>
        <v/>
      </c>
      <c r="B75" s="135" t="str">
        <f>IFERROR(INDEX('Material Handling'!$C$10:$AH$33,MATCH(B$97,Material_Handling[Data],0),MATCH($Q75,'Material Handling'!$C$40:$AH$40,0)), IFERROR(INDEX('Drop Point'!$B$13:$M$36,MATCH(B$97,'Drop Point'!$B$13:$B$37,0),MATCH($Q75,'Drop Point'!$B$41:$M$41,0)),
IFERROR(INDEX('Control - Grain dscf'!$C$11:$N$27,MATCH(B$97,'Control - Grain dscf'!$B$11:$B$27,0),MATCH($Q75,'Control - Grain dscf'!$C$32:$N$32,0)),
IFERROR(INDEX('Control - Alt'!$C$9:$O$27,MATCH(B$97,'Control - Alt'!$B$9:$B$27,0),MATCH($Q75,'Control - Alt'!$C$32:$O$32,0)),
IFERROR(INDEX(Stockpile!$C$10:$M$26,MATCH(B$97,Stockpile!$B$10:$B$26,0),MATCH($Q75,Stockpile!$C$30:$M$30,0)),
IFERROR(INDEX('Asphalt Silo &amp; Unloading'!$D$10:$M$44,MATCH(B$97,'Asphalt Silo &amp; Unloading'!$B$10:$B$44,0),MATCH($Q75,'Asphalt Silo &amp; Unloading'!$D$49:$M$49,0)),""))))))</f>
        <v/>
      </c>
      <c r="C75" s="135" t="str">
        <f>IFERROR(INDEX('Material Handling'!$C$10:$AH$33,MATCH(C$97,Material_Handling[Data],0),MATCH($Q75,'Material Handling'!$C$40:$AH$40,0)), IFERROR(INDEX('Drop Point'!$B$13:$M$36,MATCH(C$97,'Drop Point'!$B$13:$B$37,0),MATCH($Q75,'Drop Point'!$B$41:$M$41,0)),
IFERROR(INDEX('Control - Grain dscf'!$C$11:$N$27,MATCH(C$97,'Control - Grain dscf'!$B$11:$B$27,0),MATCH($Q75,'Control - Grain dscf'!$C$32:$N$32,0)),
IFERROR(INDEX('Control - Alt'!$C$9:$O$27,MATCH(C$97,'Control - Alt'!$B$9:$B$27,0),MATCH($Q75,'Control - Alt'!$C$32:$O$32,0)),
IFERROR(INDEX(Stockpile!$C$10:$M$26,MATCH(C$97,Stockpile!$B$10:$B$26,0),MATCH($Q75,Stockpile!$C$30:$M$30,0)),
IFERROR(INDEX('Asphalt Silo &amp; Unloading'!$D$10:$M$44,MATCH(C$97,'Asphalt Silo &amp; Unloading'!$B$10:$B$44,0),MATCH($Q75,'Asphalt Silo &amp; Unloading'!$D$49:$M$49,0)),""))))))</f>
        <v/>
      </c>
      <c r="D75" s="135" t="str">
        <f>IFERROR(INDEX('Material Handling'!$C$10:$AH$33,MATCH(D$97,Material_Handling[Data],0),MATCH($Q75,'Material Handling'!$C$40:$AH$40,0)), IFERROR(INDEX('Drop Point'!$B$13:$M$36,MATCH(D$97,'Drop Point'!$B$13:$B$37,0),MATCH($Q75,'Drop Point'!$B$41:$M$41,0)),
IFERROR(INDEX('Control - Grain dscf'!$C$11:$N$27,MATCH(D$97,'Control - Grain dscf'!$B$11:$B$27,0),MATCH($Q75,'Control - Grain dscf'!$C$32:$N$32,0)),
IFERROR(INDEX('Control - Alt'!$C$9:$O$27,MATCH(D$97,'Control - Alt'!$B$9:$B$27,0),MATCH($Q75,'Control - Alt'!$C$32:$O$32,0)),
IFERROR(INDEX(Stockpile!$C$10:$M$26,MATCH(D$97,Stockpile!$B$10:$B$26,0),MATCH($Q75,Stockpile!$C$30:$M$30,0)),
IFERROR(INDEX('Asphalt Silo &amp; Unloading'!$D$10:$M$44,MATCH(D$97,'Asphalt Silo &amp; Unloading'!$B$10:$B$44,0),MATCH($Q75,'Asphalt Silo &amp; Unloading'!$D$49:$M$49,0)),""))))))</f>
        <v/>
      </c>
      <c r="E75" s="620" t="str">
        <f>IFERROR(INDEX('Material Handling'!$C$10:$AH$33,MATCH(E$97,Material_Handling[Data],0),MATCH($Q75,'Material Handling'!$C$40:$AH$40,0)), IFERROR(INDEX('Drop Point'!$B$13:$M$36,MATCH(E$97,'Drop Point'!$B$13:$B$37,0),MATCH($Q75,'Drop Point'!$B$41:$M$41,0)),
IFERROR(INDEX('Control - Grain dscf'!$C$11:$N$27,MATCH(E$97,'Control - Grain dscf'!$B$11:$B$27,0),MATCH($Q75,'Control - Grain dscf'!$C$32:$N$32,0)),
IFERROR(INDEX('Control - Alt'!$C$9:$O$27,MATCH(E$97,'Control - Alt'!$B$9:$B$27,0),MATCH($Q75,'Control - Alt'!$C$32:$O$32,0)),
IFERROR(INDEX(Stockpile!$C$10:$M$26,MATCH(E$97,Stockpile!$B$10:$B$26,0),MATCH($Q75,Stockpile!$C$30:$M$30,0)),
IFERROR(INDEX('Asphalt Silo &amp; Unloading'!$D$10:$M$44,MATCH(E$97,'Asphalt Silo &amp; Unloading'!$B$10:$B$44,0),MATCH($Q75,'Asphalt Silo &amp; Unloading'!$D$49:$M$49,0)),""))))))</f>
        <v/>
      </c>
      <c r="F75" s="590" t="str">
        <f>IFERROR(INDEX('Material Handling'!$C$10:$AH$33,MATCH(F$97,Material_Handling[Data],0),MATCH($Q75,'Material Handling'!$C$40:$AH$40,0)), IFERROR(INDEX('Drop Point'!$B$13:$M$36,MATCH(F$97,'Drop Point'!$B$13:$B$37,0),MATCH($Q75,'Drop Point'!$B$41:$M$41,0)),
IFERROR(INDEX('Control - Grain dscf'!$C$11:$N$27,MATCH(F$97,'Control - Grain dscf'!$B$11:$B$27,0),MATCH($Q75,'Control - Grain dscf'!$C$32:$N$32,0)),
IFERROR(INDEX('Control - Alt'!$C$9:$O$27,MATCH(F$97,'Control - Alt'!$B$9:$B$27,0),MATCH($Q75,'Control - Alt'!$C$32:$O$32,0)),
IFERROR(INDEX(Stockpile!$C$10:$M$26,MATCH(F$97,Stockpile!$B$10:$B$26,0),MATCH($Q75,Stockpile!$C$30:$M$30,0)),
IFERROR(INDEX('Asphalt Silo &amp; Unloading'!$D$10:$M$44,MATCH(F$97,'Asphalt Silo &amp; Unloading'!$B$10:$B$44,0),MATCH($Q75,'Asphalt Silo &amp; Unloading'!$D$49:$M$49,0)),""))))))</f>
        <v/>
      </c>
      <c r="G75" s="590" t="str">
        <f>IFERROR(INDEX('Material Handling'!$C$10:$AH$33,MATCH(G$97,Material_Handling[Data],0),MATCH($Q75,'Material Handling'!$C$40:$AH$40,0)), IFERROR(INDEX('Drop Point'!$B$13:$M$36,MATCH(G$97,'Drop Point'!$B$13:$B$37,0),MATCH($Q75,'Drop Point'!$B$41:$M$41,0)),
IFERROR(INDEX('Control - Grain dscf'!$C$11:$N$27,MATCH(G$97,'Control - Grain dscf'!$B$11:$B$27,0),MATCH($Q75,'Control - Grain dscf'!$C$32:$N$32,0)),
IFERROR(INDEX('Control - Alt'!$C$9:$O$27,MATCH(G$97,'Control - Alt'!$B$9:$B$27,0),MATCH($Q75,'Control - Alt'!$C$32:$O$32,0)),
IFERROR(INDEX(Stockpile!$C$10:$M$26,MATCH(G$97,Stockpile!$B$10:$B$26,0),MATCH($Q75,Stockpile!$C$30:$M$30,0)),
IFERROR(INDEX('Asphalt Silo &amp; Unloading'!$D$10:$M$44,MATCH(G$97,'Asphalt Silo &amp; Unloading'!$B$10:$B$44,0),MATCH($Q75,'Asphalt Silo &amp; Unloading'!$D$49:$M$49,0)),""))))))</f>
        <v/>
      </c>
      <c r="H75" s="590" t="str">
        <f>IFERROR(INDEX('Material Handling'!$C$10:$AH$33,MATCH(H$97,Material_Handling[Data],0),MATCH($Q75,'Material Handling'!$C$40:$AH$40,0)), IFERROR(INDEX('Drop Point'!$B$13:$M$36,MATCH(H$97,'Drop Point'!$B$13:$B$37,0),MATCH($Q75,'Drop Point'!$B$41:$M$41,0)),
IFERROR(INDEX('Control - Grain dscf'!$C$11:$N$27,MATCH(H$97,'Control - Grain dscf'!$B$11:$B$27,0),MATCH($Q75,'Control - Grain dscf'!$C$32:$N$32,0)),
IFERROR(INDEX('Control - Alt'!$C$9:$O$27,MATCH(H$97,'Control - Alt'!$B$9:$B$27,0),MATCH($Q75,'Control - Alt'!$C$32:$O$32,0)),
IFERROR(INDEX(Stockpile!$C$10:$M$26,MATCH(H$97,Stockpile!$B$10:$B$26,0),MATCH($Q75,Stockpile!$C$30:$M$30,0)),
IFERROR(INDEX('Asphalt Silo &amp; Unloading'!$D$10:$M$44,MATCH(H$97,'Asphalt Silo &amp; Unloading'!$B$10:$B$44,0),MATCH($Q75,'Asphalt Silo &amp; Unloading'!$D$49:$M$49,0)),""))))))</f>
        <v/>
      </c>
      <c r="I75" s="590" t="str">
        <f>IFERROR(INDEX('Material Handling'!$C$10:$AH$33,MATCH(I$97,Material_Handling[Data],0),MATCH($Q75,'Material Handling'!$C$40:$AH$40,0)), IFERROR(INDEX('Drop Point'!$B$13:$M$36,MATCH(I$97,'Drop Point'!$B$13:$B$37,0),MATCH($Q75,'Drop Point'!$B$41:$M$41,0)),
IFERROR(INDEX('Control - Grain dscf'!$C$11:$N$27,MATCH(I$97,'Control - Grain dscf'!$B$11:$B$27,0),MATCH($Q75,'Control - Grain dscf'!$C$32:$N$32,0)),
IFERROR(INDEX('Control - Alt'!$C$9:$O$27,MATCH(I$97,'Control - Alt'!$B$9:$B$27,0),MATCH($Q75,'Control - Alt'!$C$32:$O$32,0)),
IFERROR(INDEX(Stockpile!$C$10:$M$26,MATCH(I$97,Stockpile!$B$10:$B$26,0),MATCH($Q75,Stockpile!$C$30:$M$30,0)),
IFERROR(INDEX('Asphalt Silo &amp; Unloading'!$D$10:$M$44,MATCH(I$97,'Asphalt Silo &amp; Unloading'!$B$10:$B$44,0),MATCH($Q75,'Asphalt Silo &amp; Unloading'!$D$49:$M$49,0)),""))))))</f>
        <v/>
      </c>
      <c r="J75" s="590" t="str">
        <f>IFERROR(INDEX('Material Handling'!$C$10:$AH$33,MATCH(J$97,Material_Handling[Data],0),MATCH($Q75,'Material Handling'!$C$40:$AH$40,0)), IFERROR(INDEX('Drop Point'!$B$13:$M$36,MATCH(J$97,'Drop Point'!$B$13:$B$37,0),MATCH($Q75,'Drop Point'!$B$41:$M$41,0)),
IFERROR(INDEX('Control - Grain dscf'!$C$11:$N$27,MATCH(J$97,'Control - Grain dscf'!$B$11:$B$27,0),MATCH($Q75,'Control - Grain dscf'!$C$32:$N$32,0)),
IFERROR(INDEX('Control - Alt'!$C$9:$O$27,MATCH(J$97,'Control - Alt'!$B$9:$B$27,0),MATCH($Q75,'Control - Alt'!$C$32:$O$32,0)),
IFERROR(INDEX(Stockpile!$C$10:$M$26,MATCH(J$97,Stockpile!$B$10:$B$26,0),MATCH($Q75,Stockpile!$C$30:$M$30,0)),
IFERROR(INDEX('Asphalt Silo &amp; Unloading'!$D$10:$M$44,MATCH(J$97,'Asphalt Silo &amp; Unloading'!$B$10:$B$44,0),MATCH($Q75,'Asphalt Silo &amp; Unloading'!$D$49:$M$49,0)),""))))))</f>
        <v/>
      </c>
      <c r="K75" s="590" t="str">
        <f>IFERROR(INDEX('Material Handling'!$C$10:$AH$33,MATCH(K$97,Material_Handling[Data],0),MATCH($Q75,'Material Handling'!$C$40:$AH$40,0)), IFERROR(INDEX('Drop Point'!$B$13:$M$36,MATCH(K$97,'Drop Point'!$B$13:$B$37,0),MATCH($Q75,'Drop Point'!$B$41:$M$41,0)),
IFERROR(INDEX('Control - Grain dscf'!$C$11:$N$27,MATCH(K$97,'Control - Grain dscf'!$B$11:$B$27,0),MATCH($Q75,'Control - Grain dscf'!$C$32:$N$32,0)),
IFERROR(INDEX('Control - Alt'!$C$9:$O$27,MATCH(K$97,'Control - Alt'!$B$9:$B$27,0),MATCH($Q75,'Control - Alt'!$C$32:$O$32,0)),
IFERROR(INDEX(Stockpile!$C$10:$M$26,MATCH(K$97,Stockpile!$B$10:$B$26,0),MATCH($Q75,Stockpile!$C$30:$M$30,0)),
IFERROR(INDEX('Asphalt Silo &amp; Unloading'!$D$10:$M$44,MATCH(K$97,'Asphalt Silo &amp; Unloading'!$B$10:$B$44,0),MATCH($Q75,'Asphalt Silo &amp; Unloading'!$D$49:$M$49,0)),""))))))</f>
        <v/>
      </c>
      <c r="L75" s="590" t="str">
        <f>IFERROR(INDEX('Material Handling'!$C$10:$AH$33,MATCH(L$97,Material_Handling[Data],0),MATCH($Q75,'Material Handling'!$C$40:$AH$40,0)), IFERROR(INDEX('Drop Point'!$B$13:$M$36,MATCH(L$97,'Drop Point'!$B$13:$B$37,0),MATCH($Q75,'Drop Point'!$B$41:$M$41,0)),
IFERROR(INDEX('Control - Grain dscf'!$C$11:$N$27,MATCH(L$97,'Control - Grain dscf'!$B$11:$B$27,0),MATCH($Q75,'Control - Grain dscf'!$C$32:$N$32,0)),
IFERROR(INDEX('Control - Alt'!$C$9:$O$27,MATCH(L$97,'Control - Alt'!$B$9:$B$27,0),MATCH($Q75,'Control - Alt'!$C$32:$O$32,0)),
IFERROR(INDEX(Stockpile!$C$10:$M$26,MATCH(L$97,Stockpile!$B$10:$B$26,0),MATCH($Q75,Stockpile!$C$30:$M$30,0)),
IFERROR(INDEX('Asphalt Silo &amp; Unloading'!$D$10:$M$44,MATCH(L$97,'Asphalt Silo &amp; Unloading'!$B$10:$B$44,0),MATCH($Q75,'Asphalt Silo &amp; Unloading'!$D$49:$M$49,0)),""))))))</f>
        <v/>
      </c>
      <c r="M75" s="590" t="str">
        <f>IFERROR(INDEX('Material Handling'!$C$10:$AH$33,MATCH(M$97,Material_Handling[Data],0),MATCH($Q75,'Material Handling'!$C$40:$AH$40,0)), IFERROR(INDEX('Drop Point'!$B$13:$M$36,MATCH(M$97,'Drop Point'!$B$13:$B$37,0),MATCH($Q75,'Drop Point'!$B$41:$M$41,0)),
IFERROR(INDEX('Control - Grain dscf'!$C$11:$N$27,MATCH(M$97,'Control - Grain dscf'!$B$11:$B$27,0),MATCH($Q75,'Control - Grain dscf'!$C$32:$N$32,0)),
IFERROR(INDEX('Control - Alt'!$C$9:$O$27,MATCH(M$97,'Control - Alt'!$B$9:$B$27,0),MATCH($Q75,'Control - Alt'!$C$32:$O$32,0)),
IFERROR(INDEX(Stockpile!$C$10:$M$26,MATCH(M$97,Stockpile!$B$10:$B$26,0),MATCH($Q75,Stockpile!$C$30:$M$30,0)),
IFERROR(INDEX('Asphalt Silo &amp; Unloading'!$D$10:$M$44,MATCH(M$97,'Asphalt Silo &amp; Unloading'!$B$10:$B$44,0),MATCH($Q75,'Asphalt Silo &amp; Unloading'!$D$49:$M$49,0)),""))))))</f>
        <v/>
      </c>
      <c r="N75" s="590" t="str">
        <f>IFERROR(INDEX('Material Handling'!$C$10:$AH$33,MATCH(N$97,Material_Handling[Data],0),MATCH($Q75,'Material Handling'!$C$40:$AH$40,0)), IFERROR(INDEX('Drop Point'!$B$13:$M$36,MATCH(N$97,'Drop Point'!$B$13:$B$37,0),MATCH($Q75,'Drop Point'!$B$41:$M$41,0)),
IFERROR(INDEX('Control - Grain dscf'!$C$11:$N$27,MATCH(N$97,'Control - Grain dscf'!$B$11:$B$27,0),MATCH($Q75,'Control - Grain dscf'!$C$32:$N$32,0)),
IFERROR(INDEX('Control - Alt'!$C$9:$O$27,MATCH(N$97,'Control - Alt'!$B$9:$B$27,0),MATCH($Q75,'Control - Alt'!$C$32:$O$32,0)),
IFERROR(INDEX(Stockpile!$C$10:$M$26,MATCH(N$97,Stockpile!$B$10:$B$26,0),MATCH($Q75,Stockpile!$C$30:$M$30,0)),
IFERROR(INDEX('Asphalt Silo &amp; Unloading'!$D$10:$M$44,MATCH(N$97,'Asphalt Silo &amp; Unloading'!$B$10:$B$44,0),MATCH($Q75,'Asphalt Silo &amp; Unloading'!$D$49:$M$49,0)),""))))))</f>
        <v/>
      </c>
      <c r="O75" s="591" t="str">
        <f>IFERROR(INDEX('Material Handling'!$C$10:$AH$33,MATCH(O$97,Material_Handling[Data],0),MATCH($Q75,'Material Handling'!$C$40:$AH$40,0)), IFERROR(INDEX('Drop Point'!$B$13:$M$36,MATCH(O$97,'Drop Point'!$B$13:$B$37,0),MATCH($Q75,'Drop Point'!$B$41:$M$41,0)),
IFERROR(INDEX('Control - Grain dscf'!$C$11:$N$27,MATCH(O$97,'Control - Grain dscf'!$B$11:$B$27,0),MATCH($Q75,'Control - Grain dscf'!$C$32:$N$32,0)),
IFERROR(INDEX('Control - Alt'!$C$9:$O$27,MATCH(O$97,'Control - Alt'!$B$9:$B$27,0),MATCH($Q75,'Control - Alt'!$C$32:$O$32,0)),
IFERROR(INDEX(Stockpile!$C$10:$M$26,MATCH(O$97,Stockpile!$B$10:$B$26,0),MATCH($Q75,Stockpile!$C$30:$M$30,0)),
IFERROR(INDEX('Asphalt Silo &amp; Unloading'!$D$10:$M$44,MATCH(O$97,'Asphalt Silo &amp; Unloading'!$B$10:$B$44,0),MATCH($Q75,'Asphalt Silo &amp; Unloading'!$D$49:$M$49,0)),""))))))</f>
        <v/>
      </c>
      <c r="Q75" s="131">
        <f t="shared" si="2"/>
        <v>67</v>
      </c>
    </row>
    <row r="76" spans="1:17" ht="20.100000000000001" customHeight="1">
      <c r="A76" s="293" t="str">
        <f>IFERROR(INDEX('Material Handling'!$C$10:$AH$33,MATCH(A$97,Material_Handling[Data],0),MATCH($Q76,'Material Handling'!$C$40:$AH$40,0)), IFERROR(INDEX('Drop Point'!$B$13:$M$36,MATCH(A$97,'Drop Point'!$B$13:$B$37,0),MATCH($Q76,'Drop Point'!$B$41:$M$41,0)),
IFERROR(INDEX('Control - Grain dscf'!$C$11:$N$27,MATCH(A$97,'Control - Grain dscf'!$B$11:$B$27,0),MATCH($Q76,'Control - Grain dscf'!$C$32:$N$32,0)),
IFERROR(INDEX('Control - Alt'!$C$9:$O$27,MATCH(A$97,'Control - Alt'!$B$9:$B$27,0),MATCH($Q76,'Control - Alt'!$C$32:$O$32,0)),
IFERROR(INDEX(Stockpile!$C$10:$M$26,MATCH(A$97,Stockpile!$B$10:$B$26,0),MATCH($Q76,Stockpile!$C$30:$M$30,0)),
IFERROR(INDEX('Asphalt Silo &amp; Unloading'!$D$10:$M$44,MATCH(A$97,'Asphalt Silo &amp; Unloading'!$B$10:$B$44,0),MATCH($Q76,'Asphalt Silo &amp; Unloading'!$D$49:$M$49,0)),""))))))</f>
        <v/>
      </c>
      <c r="B76" s="135" t="str">
        <f>IFERROR(INDEX('Material Handling'!$C$10:$AH$33,MATCH(B$97,Material_Handling[Data],0),MATCH($Q76,'Material Handling'!$C$40:$AH$40,0)), IFERROR(INDEX('Drop Point'!$B$13:$M$36,MATCH(B$97,'Drop Point'!$B$13:$B$37,0),MATCH($Q76,'Drop Point'!$B$41:$M$41,0)),
IFERROR(INDEX('Control - Grain dscf'!$C$11:$N$27,MATCH(B$97,'Control - Grain dscf'!$B$11:$B$27,0),MATCH($Q76,'Control - Grain dscf'!$C$32:$N$32,0)),
IFERROR(INDEX('Control - Alt'!$C$9:$O$27,MATCH(B$97,'Control - Alt'!$B$9:$B$27,0),MATCH($Q76,'Control - Alt'!$C$32:$O$32,0)),
IFERROR(INDEX(Stockpile!$C$10:$M$26,MATCH(B$97,Stockpile!$B$10:$B$26,0),MATCH($Q76,Stockpile!$C$30:$M$30,0)),
IFERROR(INDEX('Asphalt Silo &amp; Unloading'!$D$10:$M$44,MATCH(B$97,'Asphalt Silo &amp; Unloading'!$B$10:$B$44,0),MATCH($Q76,'Asphalt Silo &amp; Unloading'!$D$49:$M$49,0)),""))))))</f>
        <v/>
      </c>
      <c r="C76" s="135" t="str">
        <f>IFERROR(INDEX('Material Handling'!$C$10:$AH$33,MATCH(C$97,Material_Handling[Data],0),MATCH($Q76,'Material Handling'!$C$40:$AH$40,0)), IFERROR(INDEX('Drop Point'!$B$13:$M$36,MATCH(C$97,'Drop Point'!$B$13:$B$37,0),MATCH($Q76,'Drop Point'!$B$41:$M$41,0)),
IFERROR(INDEX('Control - Grain dscf'!$C$11:$N$27,MATCH(C$97,'Control - Grain dscf'!$B$11:$B$27,0),MATCH($Q76,'Control - Grain dscf'!$C$32:$N$32,0)),
IFERROR(INDEX('Control - Alt'!$C$9:$O$27,MATCH(C$97,'Control - Alt'!$B$9:$B$27,0),MATCH($Q76,'Control - Alt'!$C$32:$O$32,0)),
IFERROR(INDEX(Stockpile!$C$10:$M$26,MATCH(C$97,Stockpile!$B$10:$B$26,0),MATCH($Q76,Stockpile!$C$30:$M$30,0)),
IFERROR(INDEX('Asphalt Silo &amp; Unloading'!$D$10:$M$44,MATCH(C$97,'Asphalt Silo &amp; Unloading'!$B$10:$B$44,0),MATCH($Q76,'Asphalt Silo &amp; Unloading'!$D$49:$M$49,0)),""))))))</f>
        <v/>
      </c>
      <c r="D76" s="135" t="str">
        <f>IFERROR(INDEX('Material Handling'!$C$10:$AH$33,MATCH(D$97,Material_Handling[Data],0),MATCH($Q76,'Material Handling'!$C$40:$AH$40,0)), IFERROR(INDEX('Drop Point'!$B$13:$M$36,MATCH(D$97,'Drop Point'!$B$13:$B$37,0),MATCH($Q76,'Drop Point'!$B$41:$M$41,0)),
IFERROR(INDEX('Control - Grain dscf'!$C$11:$N$27,MATCH(D$97,'Control - Grain dscf'!$B$11:$B$27,0),MATCH($Q76,'Control - Grain dscf'!$C$32:$N$32,0)),
IFERROR(INDEX('Control - Alt'!$C$9:$O$27,MATCH(D$97,'Control - Alt'!$B$9:$B$27,0),MATCH($Q76,'Control - Alt'!$C$32:$O$32,0)),
IFERROR(INDEX(Stockpile!$C$10:$M$26,MATCH(D$97,Stockpile!$B$10:$B$26,0),MATCH($Q76,Stockpile!$C$30:$M$30,0)),
IFERROR(INDEX('Asphalt Silo &amp; Unloading'!$D$10:$M$44,MATCH(D$97,'Asphalt Silo &amp; Unloading'!$B$10:$B$44,0),MATCH($Q76,'Asphalt Silo &amp; Unloading'!$D$49:$M$49,0)),""))))))</f>
        <v/>
      </c>
      <c r="E76" s="620" t="str">
        <f>IFERROR(INDEX('Material Handling'!$C$10:$AH$33,MATCH(E$97,Material_Handling[Data],0),MATCH($Q76,'Material Handling'!$C$40:$AH$40,0)), IFERROR(INDEX('Drop Point'!$B$13:$M$36,MATCH(E$97,'Drop Point'!$B$13:$B$37,0),MATCH($Q76,'Drop Point'!$B$41:$M$41,0)),
IFERROR(INDEX('Control - Grain dscf'!$C$11:$N$27,MATCH(E$97,'Control - Grain dscf'!$B$11:$B$27,0),MATCH($Q76,'Control - Grain dscf'!$C$32:$N$32,0)),
IFERROR(INDEX('Control - Alt'!$C$9:$O$27,MATCH(E$97,'Control - Alt'!$B$9:$B$27,0),MATCH($Q76,'Control - Alt'!$C$32:$O$32,0)),
IFERROR(INDEX(Stockpile!$C$10:$M$26,MATCH(E$97,Stockpile!$B$10:$B$26,0),MATCH($Q76,Stockpile!$C$30:$M$30,0)),
IFERROR(INDEX('Asphalt Silo &amp; Unloading'!$D$10:$M$44,MATCH(E$97,'Asphalt Silo &amp; Unloading'!$B$10:$B$44,0),MATCH($Q76,'Asphalt Silo &amp; Unloading'!$D$49:$M$49,0)),""))))))</f>
        <v/>
      </c>
      <c r="F76" s="590" t="str">
        <f>IFERROR(INDEX('Material Handling'!$C$10:$AH$33,MATCH(F$97,Material_Handling[Data],0),MATCH($Q76,'Material Handling'!$C$40:$AH$40,0)), IFERROR(INDEX('Drop Point'!$B$13:$M$36,MATCH(F$97,'Drop Point'!$B$13:$B$37,0),MATCH($Q76,'Drop Point'!$B$41:$M$41,0)),
IFERROR(INDEX('Control - Grain dscf'!$C$11:$N$27,MATCH(F$97,'Control - Grain dscf'!$B$11:$B$27,0),MATCH($Q76,'Control - Grain dscf'!$C$32:$N$32,0)),
IFERROR(INDEX('Control - Alt'!$C$9:$O$27,MATCH(F$97,'Control - Alt'!$B$9:$B$27,0),MATCH($Q76,'Control - Alt'!$C$32:$O$32,0)),
IFERROR(INDEX(Stockpile!$C$10:$M$26,MATCH(F$97,Stockpile!$B$10:$B$26,0),MATCH($Q76,Stockpile!$C$30:$M$30,0)),
IFERROR(INDEX('Asphalt Silo &amp; Unloading'!$D$10:$M$44,MATCH(F$97,'Asphalt Silo &amp; Unloading'!$B$10:$B$44,0),MATCH($Q76,'Asphalt Silo &amp; Unloading'!$D$49:$M$49,0)),""))))))</f>
        <v/>
      </c>
      <c r="G76" s="590" t="str">
        <f>IFERROR(INDEX('Material Handling'!$C$10:$AH$33,MATCH(G$97,Material_Handling[Data],0),MATCH($Q76,'Material Handling'!$C$40:$AH$40,0)), IFERROR(INDEX('Drop Point'!$B$13:$M$36,MATCH(G$97,'Drop Point'!$B$13:$B$37,0),MATCH($Q76,'Drop Point'!$B$41:$M$41,0)),
IFERROR(INDEX('Control - Grain dscf'!$C$11:$N$27,MATCH(G$97,'Control - Grain dscf'!$B$11:$B$27,0),MATCH($Q76,'Control - Grain dscf'!$C$32:$N$32,0)),
IFERROR(INDEX('Control - Alt'!$C$9:$O$27,MATCH(G$97,'Control - Alt'!$B$9:$B$27,0),MATCH($Q76,'Control - Alt'!$C$32:$O$32,0)),
IFERROR(INDEX(Stockpile!$C$10:$M$26,MATCH(G$97,Stockpile!$B$10:$B$26,0),MATCH($Q76,Stockpile!$C$30:$M$30,0)),
IFERROR(INDEX('Asphalt Silo &amp; Unloading'!$D$10:$M$44,MATCH(G$97,'Asphalt Silo &amp; Unloading'!$B$10:$B$44,0),MATCH($Q76,'Asphalt Silo &amp; Unloading'!$D$49:$M$49,0)),""))))))</f>
        <v/>
      </c>
      <c r="H76" s="590" t="str">
        <f>IFERROR(INDEX('Material Handling'!$C$10:$AH$33,MATCH(H$97,Material_Handling[Data],0),MATCH($Q76,'Material Handling'!$C$40:$AH$40,0)), IFERROR(INDEX('Drop Point'!$B$13:$M$36,MATCH(H$97,'Drop Point'!$B$13:$B$37,0),MATCH($Q76,'Drop Point'!$B$41:$M$41,0)),
IFERROR(INDEX('Control - Grain dscf'!$C$11:$N$27,MATCH(H$97,'Control - Grain dscf'!$B$11:$B$27,0),MATCH($Q76,'Control - Grain dscf'!$C$32:$N$32,0)),
IFERROR(INDEX('Control - Alt'!$C$9:$O$27,MATCH(H$97,'Control - Alt'!$B$9:$B$27,0),MATCH($Q76,'Control - Alt'!$C$32:$O$32,0)),
IFERROR(INDEX(Stockpile!$C$10:$M$26,MATCH(H$97,Stockpile!$B$10:$B$26,0),MATCH($Q76,Stockpile!$C$30:$M$30,0)),
IFERROR(INDEX('Asphalt Silo &amp; Unloading'!$D$10:$M$44,MATCH(H$97,'Asphalt Silo &amp; Unloading'!$B$10:$B$44,0),MATCH($Q76,'Asphalt Silo &amp; Unloading'!$D$49:$M$49,0)),""))))))</f>
        <v/>
      </c>
      <c r="I76" s="590" t="str">
        <f>IFERROR(INDEX('Material Handling'!$C$10:$AH$33,MATCH(I$97,Material_Handling[Data],0),MATCH($Q76,'Material Handling'!$C$40:$AH$40,0)), IFERROR(INDEX('Drop Point'!$B$13:$M$36,MATCH(I$97,'Drop Point'!$B$13:$B$37,0),MATCH($Q76,'Drop Point'!$B$41:$M$41,0)),
IFERROR(INDEX('Control - Grain dscf'!$C$11:$N$27,MATCH(I$97,'Control - Grain dscf'!$B$11:$B$27,0),MATCH($Q76,'Control - Grain dscf'!$C$32:$N$32,0)),
IFERROR(INDEX('Control - Alt'!$C$9:$O$27,MATCH(I$97,'Control - Alt'!$B$9:$B$27,0),MATCH($Q76,'Control - Alt'!$C$32:$O$32,0)),
IFERROR(INDEX(Stockpile!$C$10:$M$26,MATCH(I$97,Stockpile!$B$10:$B$26,0),MATCH($Q76,Stockpile!$C$30:$M$30,0)),
IFERROR(INDEX('Asphalt Silo &amp; Unloading'!$D$10:$M$44,MATCH(I$97,'Asphalt Silo &amp; Unloading'!$B$10:$B$44,0),MATCH($Q76,'Asphalt Silo &amp; Unloading'!$D$49:$M$49,0)),""))))))</f>
        <v/>
      </c>
      <c r="J76" s="590" t="str">
        <f>IFERROR(INDEX('Material Handling'!$C$10:$AH$33,MATCH(J$97,Material_Handling[Data],0),MATCH($Q76,'Material Handling'!$C$40:$AH$40,0)), IFERROR(INDEX('Drop Point'!$B$13:$M$36,MATCH(J$97,'Drop Point'!$B$13:$B$37,0),MATCH($Q76,'Drop Point'!$B$41:$M$41,0)),
IFERROR(INDEX('Control - Grain dscf'!$C$11:$N$27,MATCH(J$97,'Control - Grain dscf'!$B$11:$B$27,0),MATCH($Q76,'Control - Grain dscf'!$C$32:$N$32,0)),
IFERROR(INDEX('Control - Alt'!$C$9:$O$27,MATCH(J$97,'Control - Alt'!$B$9:$B$27,0),MATCH($Q76,'Control - Alt'!$C$32:$O$32,0)),
IFERROR(INDEX(Stockpile!$C$10:$M$26,MATCH(J$97,Stockpile!$B$10:$B$26,0),MATCH($Q76,Stockpile!$C$30:$M$30,0)),
IFERROR(INDEX('Asphalt Silo &amp; Unloading'!$D$10:$M$44,MATCH(J$97,'Asphalt Silo &amp; Unloading'!$B$10:$B$44,0),MATCH($Q76,'Asphalt Silo &amp; Unloading'!$D$49:$M$49,0)),""))))))</f>
        <v/>
      </c>
      <c r="K76" s="590" t="str">
        <f>IFERROR(INDEX('Material Handling'!$C$10:$AH$33,MATCH(K$97,Material_Handling[Data],0),MATCH($Q76,'Material Handling'!$C$40:$AH$40,0)), IFERROR(INDEX('Drop Point'!$B$13:$M$36,MATCH(K$97,'Drop Point'!$B$13:$B$37,0),MATCH($Q76,'Drop Point'!$B$41:$M$41,0)),
IFERROR(INDEX('Control - Grain dscf'!$C$11:$N$27,MATCH(K$97,'Control - Grain dscf'!$B$11:$B$27,0),MATCH($Q76,'Control - Grain dscf'!$C$32:$N$32,0)),
IFERROR(INDEX('Control - Alt'!$C$9:$O$27,MATCH(K$97,'Control - Alt'!$B$9:$B$27,0),MATCH($Q76,'Control - Alt'!$C$32:$O$32,0)),
IFERROR(INDEX(Stockpile!$C$10:$M$26,MATCH(K$97,Stockpile!$B$10:$B$26,0),MATCH($Q76,Stockpile!$C$30:$M$30,0)),
IFERROR(INDEX('Asphalt Silo &amp; Unloading'!$D$10:$M$44,MATCH(K$97,'Asphalt Silo &amp; Unloading'!$B$10:$B$44,0),MATCH($Q76,'Asphalt Silo &amp; Unloading'!$D$49:$M$49,0)),""))))))</f>
        <v/>
      </c>
      <c r="L76" s="590" t="str">
        <f>IFERROR(INDEX('Material Handling'!$C$10:$AH$33,MATCH(L$97,Material_Handling[Data],0),MATCH($Q76,'Material Handling'!$C$40:$AH$40,0)), IFERROR(INDEX('Drop Point'!$B$13:$M$36,MATCH(L$97,'Drop Point'!$B$13:$B$37,0),MATCH($Q76,'Drop Point'!$B$41:$M$41,0)),
IFERROR(INDEX('Control - Grain dscf'!$C$11:$N$27,MATCH(L$97,'Control - Grain dscf'!$B$11:$B$27,0),MATCH($Q76,'Control - Grain dscf'!$C$32:$N$32,0)),
IFERROR(INDEX('Control - Alt'!$C$9:$O$27,MATCH(L$97,'Control - Alt'!$B$9:$B$27,0),MATCH($Q76,'Control - Alt'!$C$32:$O$32,0)),
IFERROR(INDEX(Stockpile!$C$10:$M$26,MATCH(L$97,Stockpile!$B$10:$B$26,0),MATCH($Q76,Stockpile!$C$30:$M$30,0)),
IFERROR(INDEX('Asphalt Silo &amp; Unloading'!$D$10:$M$44,MATCH(L$97,'Asphalt Silo &amp; Unloading'!$B$10:$B$44,0),MATCH($Q76,'Asphalt Silo &amp; Unloading'!$D$49:$M$49,0)),""))))))</f>
        <v/>
      </c>
      <c r="M76" s="590" t="str">
        <f>IFERROR(INDEX('Material Handling'!$C$10:$AH$33,MATCH(M$97,Material_Handling[Data],0),MATCH($Q76,'Material Handling'!$C$40:$AH$40,0)), IFERROR(INDEX('Drop Point'!$B$13:$M$36,MATCH(M$97,'Drop Point'!$B$13:$B$37,0),MATCH($Q76,'Drop Point'!$B$41:$M$41,0)),
IFERROR(INDEX('Control - Grain dscf'!$C$11:$N$27,MATCH(M$97,'Control - Grain dscf'!$B$11:$B$27,0),MATCH($Q76,'Control - Grain dscf'!$C$32:$N$32,0)),
IFERROR(INDEX('Control - Alt'!$C$9:$O$27,MATCH(M$97,'Control - Alt'!$B$9:$B$27,0),MATCH($Q76,'Control - Alt'!$C$32:$O$32,0)),
IFERROR(INDEX(Stockpile!$C$10:$M$26,MATCH(M$97,Stockpile!$B$10:$B$26,0),MATCH($Q76,Stockpile!$C$30:$M$30,0)),
IFERROR(INDEX('Asphalt Silo &amp; Unloading'!$D$10:$M$44,MATCH(M$97,'Asphalt Silo &amp; Unloading'!$B$10:$B$44,0),MATCH($Q76,'Asphalt Silo &amp; Unloading'!$D$49:$M$49,0)),""))))))</f>
        <v/>
      </c>
      <c r="N76" s="590" t="str">
        <f>IFERROR(INDEX('Material Handling'!$C$10:$AH$33,MATCH(N$97,Material_Handling[Data],0),MATCH($Q76,'Material Handling'!$C$40:$AH$40,0)), IFERROR(INDEX('Drop Point'!$B$13:$M$36,MATCH(N$97,'Drop Point'!$B$13:$B$37,0),MATCH($Q76,'Drop Point'!$B$41:$M$41,0)),
IFERROR(INDEX('Control - Grain dscf'!$C$11:$N$27,MATCH(N$97,'Control - Grain dscf'!$B$11:$B$27,0),MATCH($Q76,'Control - Grain dscf'!$C$32:$N$32,0)),
IFERROR(INDEX('Control - Alt'!$C$9:$O$27,MATCH(N$97,'Control - Alt'!$B$9:$B$27,0),MATCH($Q76,'Control - Alt'!$C$32:$O$32,0)),
IFERROR(INDEX(Stockpile!$C$10:$M$26,MATCH(N$97,Stockpile!$B$10:$B$26,0),MATCH($Q76,Stockpile!$C$30:$M$30,0)),
IFERROR(INDEX('Asphalt Silo &amp; Unloading'!$D$10:$M$44,MATCH(N$97,'Asphalt Silo &amp; Unloading'!$B$10:$B$44,0),MATCH($Q76,'Asphalt Silo &amp; Unloading'!$D$49:$M$49,0)),""))))))</f>
        <v/>
      </c>
      <c r="O76" s="591" t="str">
        <f>IFERROR(INDEX('Material Handling'!$C$10:$AH$33,MATCH(O$97,Material_Handling[Data],0),MATCH($Q76,'Material Handling'!$C$40:$AH$40,0)), IFERROR(INDEX('Drop Point'!$B$13:$M$36,MATCH(O$97,'Drop Point'!$B$13:$B$37,0),MATCH($Q76,'Drop Point'!$B$41:$M$41,0)),
IFERROR(INDEX('Control - Grain dscf'!$C$11:$N$27,MATCH(O$97,'Control - Grain dscf'!$B$11:$B$27,0),MATCH($Q76,'Control - Grain dscf'!$C$32:$N$32,0)),
IFERROR(INDEX('Control - Alt'!$C$9:$O$27,MATCH(O$97,'Control - Alt'!$B$9:$B$27,0),MATCH($Q76,'Control - Alt'!$C$32:$O$32,0)),
IFERROR(INDEX(Stockpile!$C$10:$M$26,MATCH(O$97,Stockpile!$B$10:$B$26,0),MATCH($Q76,Stockpile!$C$30:$M$30,0)),
IFERROR(INDEX('Asphalt Silo &amp; Unloading'!$D$10:$M$44,MATCH(O$97,'Asphalt Silo &amp; Unloading'!$B$10:$B$44,0),MATCH($Q76,'Asphalt Silo &amp; Unloading'!$D$49:$M$49,0)),""))))))</f>
        <v/>
      </c>
      <c r="Q76" s="131">
        <f t="shared" si="2"/>
        <v>68</v>
      </c>
    </row>
    <row r="77" spans="1:17" ht="20.100000000000001" customHeight="1">
      <c r="A77" s="293" t="str">
        <f>IFERROR(INDEX('Material Handling'!$C$10:$AH$33,MATCH(A$97,Material_Handling[Data],0),MATCH($Q77,'Material Handling'!$C$40:$AH$40,0)), IFERROR(INDEX('Drop Point'!$B$13:$M$36,MATCH(A$97,'Drop Point'!$B$13:$B$37,0),MATCH($Q77,'Drop Point'!$B$41:$M$41,0)),
IFERROR(INDEX('Control - Grain dscf'!$C$11:$N$27,MATCH(A$97,'Control - Grain dscf'!$B$11:$B$27,0),MATCH($Q77,'Control - Grain dscf'!$C$32:$N$32,0)),
IFERROR(INDEX('Control - Alt'!$C$9:$O$27,MATCH(A$97,'Control - Alt'!$B$9:$B$27,0),MATCH($Q77,'Control - Alt'!$C$32:$O$32,0)),
IFERROR(INDEX(Stockpile!$C$10:$M$26,MATCH(A$97,Stockpile!$B$10:$B$26,0),MATCH($Q77,Stockpile!$C$30:$M$30,0)),
IFERROR(INDEX('Asphalt Silo &amp; Unloading'!$D$10:$M$44,MATCH(A$97,'Asphalt Silo &amp; Unloading'!$B$10:$B$44,0),MATCH($Q77,'Asphalt Silo &amp; Unloading'!$D$49:$M$49,0)),""))))))</f>
        <v/>
      </c>
      <c r="B77" s="135" t="str">
        <f>IFERROR(INDEX('Material Handling'!$C$10:$AH$33,MATCH(B$97,Material_Handling[Data],0),MATCH($Q77,'Material Handling'!$C$40:$AH$40,0)), IFERROR(INDEX('Drop Point'!$B$13:$M$36,MATCH(B$97,'Drop Point'!$B$13:$B$37,0),MATCH($Q77,'Drop Point'!$B$41:$M$41,0)),
IFERROR(INDEX('Control - Grain dscf'!$C$11:$N$27,MATCH(B$97,'Control - Grain dscf'!$B$11:$B$27,0),MATCH($Q77,'Control - Grain dscf'!$C$32:$N$32,0)),
IFERROR(INDEX('Control - Alt'!$C$9:$O$27,MATCH(B$97,'Control - Alt'!$B$9:$B$27,0),MATCH($Q77,'Control - Alt'!$C$32:$O$32,0)),
IFERROR(INDEX(Stockpile!$C$10:$M$26,MATCH(B$97,Stockpile!$B$10:$B$26,0),MATCH($Q77,Stockpile!$C$30:$M$30,0)),
IFERROR(INDEX('Asphalt Silo &amp; Unloading'!$D$10:$M$44,MATCH(B$97,'Asphalt Silo &amp; Unloading'!$B$10:$B$44,0),MATCH($Q77,'Asphalt Silo &amp; Unloading'!$D$49:$M$49,0)),""))))))</f>
        <v/>
      </c>
      <c r="C77" s="135" t="str">
        <f>IFERROR(INDEX('Material Handling'!$C$10:$AH$33,MATCH(C$97,Material_Handling[Data],0),MATCH($Q77,'Material Handling'!$C$40:$AH$40,0)), IFERROR(INDEX('Drop Point'!$B$13:$M$36,MATCH(C$97,'Drop Point'!$B$13:$B$37,0),MATCH($Q77,'Drop Point'!$B$41:$M$41,0)),
IFERROR(INDEX('Control - Grain dscf'!$C$11:$N$27,MATCH(C$97,'Control - Grain dscf'!$B$11:$B$27,0),MATCH($Q77,'Control - Grain dscf'!$C$32:$N$32,0)),
IFERROR(INDEX('Control - Alt'!$C$9:$O$27,MATCH(C$97,'Control - Alt'!$B$9:$B$27,0),MATCH($Q77,'Control - Alt'!$C$32:$O$32,0)),
IFERROR(INDEX(Stockpile!$C$10:$M$26,MATCH(C$97,Stockpile!$B$10:$B$26,0),MATCH($Q77,Stockpile!$C$30:$M$30,0)),
IFERROR(INDEX('Asphalt Silo &amp; Unloading'!$D$10:$M$44,MATCH(C$97,'Asphalt Silo &amp; Unloading'!$B$10:$B$44,0),MATCH($Q77,'Asphalt Silo &amp; Unloading'!$D$49:$M$49,0)),""))))))</f>
        <v/>
      </c>
      <c r="D77" s="135" t="str">
        <f>IFERROR(INDEX('Material Handling'!$C$10:$AH$33,MATCH(D$97,Material_Handling[Data],0),MATCH($Q77,'Material Handling'!$C$40:$AH$40,0)), IFERROR(INDEX('Drop Point'!$B$13:$M$36,MATCH(D$97,'Drop Point'!$B$13:$B$37,0),MATCH($Q77,'Drop Point'!$B$41:$M$41,0)),
IFERROR(INDEX('Control - Grain dscf'!$C$11:$N$27,MATCH(D$97,'Control - Grain dscf'!$B$11:$B$27,0),MATCH($Q77,'Control - Grain dscf'!$C$32:$N$32,0)),
IFERROR(INDEX('Control - Alt'!$C$9:$O$27,MATCH(D$97,'Control - Alt'!$B$9:$B$27,0),MATCH($Q77,'Control - Alt'!$C$32:$O$32,0)),
IFERROR(INDEX(Stockpile!$C$10:$M$26,MATCH(D$97,Stockpile!$B$10:$B$26,0),MATCH($Q77,Stockpile!$C$30:$M$30,0)),
IFERROR(INDEX('Asphalt Silo &amp; Unloading'!$D$10:$M$44,MATCH(D$97,'Asphalt Silo &amp; Unloading'!$B$10:$B$44,0),MATCH($Q77,'Asphalt Silo &amp; Unloading'!$D$49:$M$49,0)),""))))))</f>
        <v/>
      </c>
      <c r="E77" s="620" t="str">
        <f>IFERROR(INDEX('Material Handling'!$C$10:$AH$33,MATCH(E$97,Material_Handling[Data],0),MATCH($Q77,'Material Handling'!$C$40:$AH$40,0)), IFERROR(INDEX('Drop Point'!$B$13:$M$36,MATCH(E$97,'Drop Point'!$B$13:$B$37,0),MATCH($Q77,'Drop Point'!$B$41:$M$41,0)),
IFERROR(INDEX('Control - Grain dscf'!$C$11:$N$27,MATCH(E$97,'Control - Grain dscf'!$B$11:$B$27,0),MATCH($Q77,'Control - Grain dscf'!$C$32:$N$32,0)),
IFERROR(INDEX('Control - Alt'!$C$9:$O$27,MATCH(E$97,'Control - Alt'!$B$9:$B$27,0),MATCH($Q77,'Control - Alt'!$C$32:$O$32,0)),
IFERROR(INDEX(Stockpile!$C$10:$M$26,MATCH(E$97,Stockpile!$B$10:$B$26,0),MATCH($Q77,Stockpile!$C$30:$M$30,0)),
IFERROR(INDEX('Asphalt Silo &amp; Unloading'!$D$10:$M$44,MATCH(E$97,'Asphalt Silo &amp; Unloading'!$B$10:$B$44,0),MATCH($Q77,'Asphalt Silo &amp; Unloading'!$D$49:$M$49,0)),""))))))</f>
        <v/>
      </c>
      <c r="F77" s="590" t="str">
        <f>IFERROR(INDEX('Material Handling'!$C$10:$AH$33,MATCH(F$97,Material_Handling[Data],0),MATCH($Q77,'Material Handling'!$C$40:$AH$40,0)), IFERROR(INDEX('Drop Point'!$B$13:$M$36,MATCH(F$97,'Drop Point'!$B$13:$B$37,0),MATCH($Q77,'Drop Point'!$B$41:$M$41,0)),
IFERROR(INDEX('Control - Grain dscf'!$C$11:$N$27,MATCH(F$97,'Control - Grain dscf'!$B$11:$B$27,0),MATCH($Q77,'Control - Grain dscf'!$C$32:$N$32,0)),
IFERROR(INDEX('Control - Alt'!$C$9:$O$27,MATCH(F$97,'Control - Alt'!$B$9:$B$27,0),MATCH($Q77,'Control - Alt'!$C$32:$O$32,0)),
IFERROR(INDEX(Stockpile!$C$10:$M$26,MATCH(F$97,Stockpile!$B$10:$B$26,0),MATCH($Q77,Stockpile!$C$30:$M$30,0)),
IFERROR(INDEX('Asphalt Silo &amp; Unloading'!$D$10:$M$44,MATCH(F$97,'Asphalt Silo &amp; Unloading'!$B$10:$B$44,0),MATCH($Q77,'Asphalt Silo &amp; Unloading'!$D$49:$M$49,0)),""))))))</f>
        <v/>
      </c>
      <c r="G77" s="590" t="str">
        <f>IFERROR(INDEX('Material Handling'!$C$10:$AH$33,MATCH(G$97,Material_Handling[Data],0),MATCH($Q77,'Material Handling'!$C$40:$AH$40,0)), IFERROR(INDEX('Drop Point'!$B$13:$M$36,MATCH(G$97,'Drop Point'!$B$13:$B$37,0),MATCH($Q77,'Drop Point'!$B$41:$M$41,0)),
IFERROR(INDEX('Control - Grain dscf'!$C$11:$N$27,MATCH(G$97,'Control - Grain dscf'!$B$11:$B$27,0),MATCH($Q77,'Control - Grain dscf'!$C$32:$N$32,0)),
IFERROR(INDEX('Control - Alt'!$C$9:$O$27,MATCH(G$97,'Control - Alt'!$B$9:$B$27,0),MATCH($Q77,'Control - Alt'!$C$32:$O$32,0)),
IFERROR(INDEX(Stockpile!$C$10:$M$26,MATCH(G$97,Stockpile!$B$10:$B$26,0),MATCH($Q77,Stockpile!$C$30:$M$30,0)),
IFERROR(INDEX('Asphalt Silo &amp; Unloading'!$D$10:$M$44,MATCH(G$97,'Asphalt Silo &amp; Unloading'!$B$10:$B$44,0),MATCH($Q77,'Asphalt Silo &amp; Unloading'!$D$49:$M$49,0)),""))))))</f>
        <v/>
      </c>
      <c r="H77" s="590" t="str">
        <f>IFERROR(INDEX('Material Handling'!$C$10:$AH$33,MATCH(H$97,Material_Handling[Data],0),MATCH($Q77,'Material Handling'!$C$40:$AH$40,0)), IFERROR(INDEX('Drop Point'!$B$13:$M$36,MATCH(H$97,'Drop Point'!$B$13:$B$37,0),MATCH($Q77,'Drop Point'!$B$41:$M$41,0)),
IFERROR(INDEX('Control - Grain dscf'!$C$11:$N$27,MATCH(H$97,'Control - Grain dscf'!$B$11:$B$27,0),MATCH($Q77,'Control - Grain dscf'!$C$32:$N$32,0)),
IFERROR(INDEX('Control - Alt'!$C$9:$O$27,MATCH(H$97,'Control - Alt'!$B$9:$B$27,0),MATCH($Q77,'Control - Alt'!$C$32:$O$32,0)),
IFERROR(INDEX(Stockpile!$C$10:$M$26,MATCH(H$97,Stockpile!$B$10:$B$26,0),MATCH($Q77,Stockpile!$C$30:$M$30,0)),
IFERROR(INDEX('Asphalt Silo &amp; Unloading'!$D$10:$M$44,MATCH(H$97,'Asphalt Silo &amp; Unloading'!$B$10:$B$44,0),MATCH($Q77,'Asphalt Silo &amp; Unloading'!$D$49:$M$49,0)),""))))))</f>
        <v/>
      </c>
      <c r="I77" s="590" t="str">
        <f>IFERROR(INDEX('Material Handling'!$C$10:$AH$33,MATCH(I$97,Material_Handling[Data],0),MATCH($Q77,'Material Handling'!$C$40:$AH$40,0)), IFERROR(INDEX('Drop Point'!$B$13:$M$36,MATCH(I$97,'Drop Point'!$B$13:$B$37,0),MATCH($Q77,'Drop Point'!$B$41:$M$41,0)),
IFERROR(INDEX('Control - Grain dscf'!$C$11:$N$27,MATCH(I$97,'Control - Grain dscf'!$B$11:$B$27,0),MATCH($Q77,'Control - Grain dscf'!$C$32:$N$32,0)),
IFERROR(INDEX('Control - Alt'!$C$9:$O$27,MATCH(I$97,'Control - Alt'!$B$9:$B$27,0),MATCH($Q77,'Control - Alt'!$C$32:$O$32,0)),
IFERROR(INDEX(Stockpile!$C$10:$M$26,MATCH(I$97,Stockpile!$B$10:$B$26,0),MATCH($Q77,Stockpile!$C$30:$M$30,0)),
IFERROR(INDEX('Asphalt Silo &amp; Unloading'!$D$10:$M$44,MATCH(I$97,'Asphalt Silo &amp; Unloading'!$B$10:$B$44,0),MATCH($Q77,'Asphalt Silo &amp; Unloading'!$D$49:$M$49,0)),""))))))</f>
        <v/>
      </c>
      <c r="J77" s="590" t="str">
        <f>IFERROR(INDEX('Material Handling'!$C$10:$AH$33,MATCH(J$97,Material_Handling[Data],0),MATCH($Q77,'Material Handling'!$C$40:$AH$40,0)), IFERROR(INDEX('Drop Point'!$B$13:$M$36,MATCH(J$97,'Drop Point'!$B$13:$B$37,0),MATCH($Q77,'Drop Point'!$B$41:$M$41,0)),
IFERROR(INDEX('Control - Grain dscf'!$C$11:$N$27,MATCH(J$97,'Control - Grain dscf'!$B$11:$B$27,0),MATCH($Q77,'Control - Grain dscf'!$C$32:$N$32,0)),
IFERROR(INDEX('Control - Alt'!$C$9:$O$27,MATCH(J$97,'Control - Alt'!$B$9:$B$27,0),MATCH($Q77,'Control - Alt'!$C$32:$O$32,0)),
IFERROR(INDEX(Stockpile!$C$10:$M$26,MATCH(J$97,Stockpile!$B$10:$B$26,0),MATCH($Q77,Stockpile!$C$30:$M$30,0)),
IFERROR(INDEX('Asphalt Silo &amp; Unloading'!$D$10:$M$44,MATCH(J$97,'Asphalt Silo &amp; Unloading'!$B$10:$B$44,0),MATCH($Q77,'Asphalt Silo &amp; Unloading'!$D$49:$M$49,0)),""))))))</f>
        <v/>
      </c>
      <c r="K77" s="590" t="str">
        <f>IFERROR(INDEX('Material Handling'!$C$10:$AH$33,MATCH(K$97,Material_Handling[Data],0),MATCH($Q77,'Material Handling'!$C$40:$AH$40,0)), IFERROR(INDEX('Drop Point'!$B$13:$M$36,MATCH(K$97,'Drop Point'!$B$13:$B$37,0),MATCH($Q77,'Drop Point'!$B$41:$M$41,0)),
IFERROR(INDEX('Control - Grain dscf'!$C$11:$N$27,MATCH(K$97,'Control - Grain dscf'!$B$11:$B$27,0),MATCH($Q77,'Control - Grain dscf'!$C$32:$N$32,0)),
IFERROR(INDEX('Control - Alt'!$C$9:$O$27,MATCH(K$97,'Control - Alt'!$B$9:$B$27,0),MATCH($Q77,'Control - Alt'!$C$32:$O$32,0)),
IFERROR(INDEX(Stockpile!$C$10:$M$26,MATCH(K$97,Stockpile!$B$10:$B$26,0),MATCH($Q77,Stockpile!$C$30:$M$30,0)),
IFERROR(INDEX('Asphalt Silo &amp; Unloading'!$D$10:$M$44,MATCH(K$97,'Asphalt Silo &amp; Unloading'!$B$10:$B$44,0),MATCH($Q77,'Asphalt Silo &amp; Unloading'!$D$49:$M$49,0)),""))))))</f>
        <v/>
      </c>
      <c r="L77" s="590" t="str">
        <f>IFERROR(INDEX('Material Handling'!$C$10:$AH$33,MATCH(L$97,Material_Handling[Data],0),MATCH($Q77,'Material Handling'!$C$40:$AH$40,0)), IFERROR(INDEX('Drop Point'!$B$13:$M$36,MATCH(L$97,'Drop Point'!$B$13:$B$37,0),MATCH($Q77,'Drop Point'!$B$41:$M$41,0)),
IFERROR(INDEX('Control - Grain dscf'!$C$11:$N$27,MATCH(L$97,'Control - Grain dscf'!$B$11:$B$27,0),MATCH($Q77,'Control - Grain dscf'!$C$32:$N$32,0)),
IFERROR(INDEX('Control - Alt'!$C$9:$O$27,MATCH(L$97,'Control - Alt'!$B$9:$B$27,0),MATCH($Q77,'Control - Alt'!$C$32:$O$32,0)),
IFERROR(INDEX(Stockpile!$C$10:$M$26,MATCH(L$97,Stockpile!$B$10:$B$26,0),MATCH($Q77,Stockpile!$C$30:$M$30,0)),
IFERROR(INDEX('Asphalt Silo &amp; Unloading'!$D$10:$M$44,MATCH(L$97,'Asphalt Silo &amp; Unloading'!$B$10:$B$44,0),MATCH($Q77,'Asphalt Silo &amp; Unloading'!$D$49:$M$49,0)),""))))))</f>
        <v/>
      </c>
      <c r="M77" s="590" t="str">
        <f>IFERROR(INDEX('Material Handling'!$C$10:$AH$33,MATCH(M$97,Material_Handling[Data],0),MATCH($Q77,'Material Handling'!$C$40:$AH$40,0)), IFERROR(INDEX('Drop Point'!$B$13:$M$36,MATCH(M$97,'Drop Point'!$B$13:$B$37,0),MATCH($Q77,'Drop Point'!$B$41:$M$41,0)),
IFERROR(INDEX('Control - Grain dscf'!$C$11:$N$27,MATCH(M$97,'Control - Grain dscf'!$B$11:$B$27,0),MATCH($Q77,'Control - Grain dscf'!$C$32:$N$32,0)),
IFERROR(INDEX('Control - Alt'!$C$9:$O$27,MATCH(M$97,'Control - Alt'!$B$9:$B$27,0),MATCH($Q77,'Control - Alt'!$C$32:$O$32,0)),
IFERROR(INDEX(Stockpile!$C$10:$M$26,MATCH(M$97,Stockpile!$B$10:$B$26,0),MATCH($Q77,Stockpile!$C$30:$M$30,0)),
IFERROR(INDEX('Asphalt Silo &amp; Unloading'!$D$10:$M$44,MATCH(M$97,'Asphalt Silo &amp; Unloading'!$B$10:$B$44,0),MATCH($Q77,'Asphalt Silo &amp; Unloading'!$D$49:$M$49,0)),""))))))</f>
        <v/>
      </c>
      <c r="N77" s="590" t="str">
        <f>IFERROR(INDEX('Material Handling'!$C$10:$AH$33,MATCH(N$97,Material_Handling[Data],0),MATCH($Q77,'Material Handling'!$C$40:$AH$40,0)), IFERROR(INDEX('Drop Point'!$B$13:$M$36,MATCH(N$97,'Drop Point'!$B$13:$B$37,0),MATCH($Q77,'Drop Point'!$B$41:$M$41,0)),
IFERROR(INDEX('Control - Grain dscf'!$C$11:$N$27,MATCH(N$97,'Control - Grain dscf'!$B$11:$B$27,0),MATCH($Q77,'Control - Grain dscf'!$C$32:$N$32,0)),
IFERROR(INDEX('Control - Alt'!$C$9:$O$27,MATCH(N$97,'Control - Alt'!$B$9:$B$27,0),MATCH($Q77,'Control - Alt'!$C$32:$O$32,0)),
IFERROR(INDEX(Stockpile!$C$10:$M$26,MATCH(N$97,Stockpile!$B$10:$B$26,0),MATCH($Q77,Stockpile!$C$30:$M$30,0)),
IFERROR(INDEX('Asphalt Silo &amp; Unloading'!$D$10:$M$44,MATCH(N$97,'Asphalt Silo &amp; Unloading'!$B$10:$B$44,0),MATCH($Q77,'Asphalt Silo &amp; Unloading'!$D$49:$M$49,0)),""))))))</f>
        <v/>
      </c>
      <c r="O77" s="591" t="str">
        <f>IFERROR(INDEX('Material Handling'!$C$10:$AH$33,MATCH(O$97,Material_Handling[Data],0),MATCH($Q77,'Material Handling'!$C$40:$AH$40,0)), IFERROR(INDEX('Drop Point'!$B$13:$M$36,MATCH(O$97,'Drop Point'!$B$13:$B$37,0),MATCH($Q77,'Drop Point'!$B$41:$M$41,0)),
IFERROR(INDEX('Control - Grain dscf'!$C$11:$N$27,MATCH(O$97,'Control - Grain dscf'!$B$11:$B$27,0),MATCH($Q77,'Control - Grain dscf'!$C$32:$N$32,0)),
IFERROR(INDEX('Control - Alt'!$C$9:$O$27,MATCH(O$97,'Control - Alt'!$B$9:$B$27,0),MATCH($Q77,'Control - Alt'!$C$32:$O$32,0)),
IFERROR(INDEX(Stockpile!$C$10:$M$26,MATCH(O$97,Stockpile!$B$10:$B$26,0),MATCH($Q77,Stockpile!$C$30:$M$30,0)),
IFERROR(INDEX('Asphalt Silo &amp; Unloading'!$D$10:$M$44,MATCH(O$97,'Asphalt Silo &amp; Unloading'!$B$10:$B$44,0),MATCH($Q77,'Asphalt Silo &amp; Unloading'!$D$49:$M$49,0)),""))))))</f>
        <v/>
      </c>
      <c r="Q77" s="131">
        <f t="shared" si="2"/>
        <v>69</v>
      </c>
    </row>
    <row r="78" spans="1:17" ht="20.100000000000001" customHeight="1">
      <c r="A78" s="293" t="str">
        <f>IFERROR(INDEX('Material Handling'!$C$10:$AH$33,MATCH(A$97,Material_Handling[Data],0),MATCH($Q78,'Material Handling'!$C$40:$AH$40,0)), IFERROR(INDEX('Drop Point'!$B$13:$M$36,MATCH(A$97,'Drop Point'!$B$13:$B$37,0),MATCH($Q78,'Drop Point'!$B$41:$M$41,0)),
IFERROR(INDEX('Control - Grain dscf'!$C$11:$N$27,MATCH(A$97,'Control - Grain dscf'!$B$11:$B$27,0),MATCH($Q78,'Control - Grain dscf'!$C$32:$N$32,0)),
IFERROR(INDEX('Control - Alt'!$C$9:$O$27,MATCH(A$97,'Control - Alt'!$B$9:$B$27,0),MATCH($Q78,'Control - Alt'!$C$32:$O$32,0)),
IFERROR(INDEX(Stockpile!$C$10:$M$26,MATCH(A$97,Stockpile!$B$10:$B$26,0),MATCH($Q78,Stockpile!$C$30:$M$30,0)),
IFERROR(INDEX('Asphalt Silo &amp; Unloading'!$D$10:$M$44,MATCH(A$97,'Asphalt Silo &amp; Unloading'!$B$10:$B$44,0),MATCH($Q78,'Asphalt Silo &amp; Unloading'!$D$49:$M$49,0)),""))))))</f>
        <v/>
      </c>
      <c r="B78" s="135" t="str">
        <f>IFERROR(INDEX('Material Handling'!$C$10:$AH$33,MATCH(B$97,Material_Handling[Data],0),MATCH($Q78,'Material Handling'!$C$40:$AH$40,0)), IFERROR(INDEX('Drop Point'!$B$13:$M$36,MATCH(B$97,'Drop Point'!$B$13:$B$37,0),MATCH($Q78,'Drop Point'!$B$41:$M$41,0)),
IFERROR(INDEX('Control - Grain dscf'!$C$11:$N$27,MATCH(B$97,'Control - Grain dscf'!$B$11:$B$27,0),MATCH($Q78,'Control - Grain dscf'!$C$32:$N$32,0)),
IFERROR(INDEX('Control - Alt'!$C$9:$O$27,MATCH(B$97,'Control - Alt'!$B$9:$B$27,0),MATCH($Q78,'Control - Alt'!$C$32:$O$32,0)),
IFERROR(INDEX(Stockpile!$C$10:$M$26,MATCH(B$97,Stockpile!$B$10:$B$26,0),MATCH($Q78,Stockpile!$C$30:$M$30,0)),
IFERROR(INDEX('Asphalt Silo &amp; Unloading'!$D$10:$M$44,MATCH(B$97,'Asphalt Silo &amp; Unloading'!$B$10:$B$44,0),MATCH($Q78,'Asphalt Silo &amp; Unloading'!$D$49:$M$49,0)),""))))))</f>
        <v/>
      </c>
      <c r="C78" s="135" t="str">
        <f>IFERROR(INDEX('Material Handling'!$C$10:$AH$33,MATCH(C$97,Material_Handling[Data],0),MATCH($Q78,'Material Handling'!$C$40:$AH$40,0)), IFERROR(INDEX('Drop Point'!$B$13:$M$36,MATCH(C$97,'Drop Point'!$B$13:$B$37,0),MATCH($Q78,'Drop Point'!$B$41:$M$41,0)),
IFERROR(INDEX('Control - Grain dscf'!$C$11:$N$27,MATCH(C$97,'Control - Grain dscf'!$B$11:$B$27,0),MATCH($Q78,'Control - Grain dscf'!$C$32:$N$32,0)),
IFERROR(INDEX('Control - Alt'!$C$9:$O$27,MATCH(C$97,'Control - Alt'!$B$9:$B$27,0),MATCH($Q78,'Control - Alt'!$C$32:$O$32,0)),
IFERROR(INDEX(Stockpile!$C$10:$M$26,MATCH(C$97,Stockpile!$B$10:$B$26,0),MATCH($Q78,Stockpile!$C$30:$M$30,0)),
IFERROR(INDEX('Asphalt Silo &amp; Unloading'!$D$10:$M$44,MATCH(C$97,'Asphalt Silo &amp; Unloading'!$B$10:$B$44,0),MATCH($Q78,'Asphalt Silo &amp; Unloading'!$D$49:$M$49,0)),""))))))</f>
        <v/>
      </c>
      <c r="D78" s="135" t="str">
        <f>IFERROR(INDEX('Material Handling'!$C$10:$AH$33,MATCH(D$97,Material_Handling[Data],0),MATCH($Q78,'Material Handling'!$C$40:$AH$40,0)), IFERROR(INDEX('Drop Point'!$B$13:$M$36,MATCH(D$97,'Drop Point'!$B$13:$B$37,0),MATCH($Q78,'Drop Point'!$B$41:$M$41,0)),
IFERROR(INDEX('Control - Grain dscf'!$C$11:$N$27,MATCH(D$97,'Control - Grain dscf'!$B$11:$B$27,0),MATCH($Q78,'Control - Grain dscf'!$C$32:$N$32,0)),
IFERROR(INDEX('Control - Alt'!$C$9:$O$27,MATCH(D$97,'Control - Alt'!$B$9:$B$27,0),MATCH($Q78,'Control - Alt'!$C$32:$O$32,0)),
IFERROR(INDEX(Stockpile!$C$10:$M$26,MATCH(D$97,Stockpile!$B$10:$B$26,0),MATCH($Q78,Stockpile!$C$30:$M$30,0)),
IFERROR(INDEX('Asphalt Silo &amp; Unloading'!$D$10:$M$44,MATCH(D$97,'Asphalt Silo &amp; Unloading'!$B$10:$B$44,0),MATCH($Q78,'Asphalt Silo &amp; Unloading'!$D$49:$M$49,0)),""))))))</f>
        <v/>
      </c>
      <c r="E78" s="620" t="str">
        <f>IFERROR(INDEX('Material Handling'!$C$10:$AH$33,MATCH(E$97,Material_Handling[Data],0),MATCH($Q78,'Material Handling'!$C$40:$AH$40,0)), IFERROR(INDEX('Drop Point'!$B$13:$M$36,MATCH(E$97,'Drop Point'!$B$13:$B$37,0),MATCH($Q78,'Drop Point'!$B$41:$M$41,0)),
IFERROR(INDEX('Control - Grain dscf'!$C$11:$N$27,MATCH(E$97,'Control - Grain dscf'!$B$11:$B$27,0),MATCH($Q78,'Control - Grain dscf'!$C$32:$N$32,0)),
IFERROR(INDEX('Control - Alt'!$C$9:$O$27,MATCH(E$97,'Control - Alt'!$B$9:$B$27,0),MATCH($Q78,'Control - Alt'!$C$32:$O$32,0)),
IFERROR(INDEX(Stockpile!$C$10:$M$26,MATCH(E$97,Stockpile!$B$10:$B$26,0),MATCH($Q78,Stockpile!$C$30:$M$30,0)),
IFERROR(INDEX('Asphalt Silo &amp; Unloading'!$D$10:$M$44,MATCH(E$97,'Asphalt Silo &amp; Unloading'!$B$10:$B$44,0),MATCH($Q78,'Asphalt Silo &amp; Unloading'!$D$49:$M$49,0)),""))))))</f>
        <v/>
      </c>
      <c r="F78" s="590" t="str">
        <f>IFERROR(INDEX('Material Handling'!$C$10:$AH$33,MATCH(F$97,Material_Handling[Data],0),MATCH($Q78,'Material Handling'!$C$40:$AH$40,0)), IFERROR(INDEX('Drop Point'!$B$13:$M$36,MATCH(F$97,'Drop Point'!$B$13:$B$37,0),MATCH($Q78,'Drop Point'!$B$41:$M$41,0)),
IFERROR(INDEX('Control - Grain dscf'!$C$11:$N$27,MATCH(F$97,'Control - Grain dscf'!$B$11:$B$27,0),MATCH($Q78,'Control - Grain dscf'!$C$32:$N$32,0)),
IFERROR(INDEX('Control - Alt'!$C$9:$O$27,MATCH(F$97,'Control - Alt'!$B$9:$B$27,0),MATCH($Q78,'Control - Alt'!$C$32:$O$32,0)),
IFERROR(INDEX(Stockpile!$C$10:$M$26,MATCH(F$97,Stockpile!$B$10:$B$26,0),MATCH($Q78,Stockpile!$C$30:$M$30,0)),
IFERROR(INDEX('Asphalt Silo &amp; Unloading'!$D$10:$M$44,MATCH(F$97,'Asphalt Silo &amp; Unloading'!$B$10:$B$44,0),MATCH($Q78,'Asphalt Silo &amp; Unloading'!$D$49:$M$49,0)),""))))))</f>
        <v/>
      </c>
      <c r="G78" s="590" t="str">
        <f>IFERROR(INDEX('Material Handling'!$C$10:$AH$33,MATCH(G$97,Material_Handling[Data],0),MATCH($Q78,'Material Handling'!$C$40:$AH$40,0)), IFERROR(INDEX('Drop Point'!$B$13:$M$36,MATCH(G$97,'Drop Point'!$B$13:$B$37,0),MATCH($Q78,'Drop Point'!$B$41:$M$41,0)),
IFERROR(INDEX('Control - Grain dscf'!$C$11:$N$27,MATCH(G$97,'Control - Grain dscf'!$B$11:$B$27,0),MATCH($Q78,'Control - Grain dscf'!$C$32:$N$32,0)),
IFERROR(INDEX('Control - Alt'!$C$9:$O$27,MATCH(G$97,'Control - Alt'!$B$9:$B$27,0),MATCH($Q78,'Control - Alt'!$C$32:$O$32,0)),
IFERROR(INDEX(Stockpile!$C$10:$M$26,MATCH(G$97,Stockpile!$B$10:$B$26,0),MATCH($Q78,Stockpile!$C$30:$M$30,0)),
IFERROR(INDEX('Asphalt Silo &amp; Unloading'!$D$10:$M$44,MATCH(G$97,'Asphalt Silo &amp; Unloading'!$B$10:$B$44,0),MATCH($Q78,'Asphalt Silo &amp; Unloading'!$D$49:$M$49,0)),""))))))</f>
        <v/>
      </c>
      <c r="H78" s="590" t="str">
        <f>IFERROR(INDEX('Material Handling'!$C$10:$AH$33,MATCH(H$97,Material_Handling[Data],0),MATCH($Q78,'Material Handling'!$C$40:$AH$40,0)), IFERROR(INDEX('Drop Point'!$B$13:$M$36,MATCH(H$97,'Drop Point'!$B$13:$B$37,0),MATCH($Q78,'Drop Point'!$B$41:$M$41,0)),
IFERROR(INDEX('Control - Grain dscf'!$C$11:$N$27,MATCH(H$97,'Control - Grain dscf'!$B$11:$B$27,0),MATCH($Q78,'Control - Grain dscf'!$C$32:$N$32,0)),
IFERROR(INDEX('Control - Alt'!$C$9:$O$27,MATCH(H$97,'Control - Alt'!$B$9:$B$27,0),MATCH($Q78,'Control - Alt'!$C$32:$O$32,0)),
IFERROR(INDEX(Stockpile!$C$10:$M$26,MATCH(H$97,Stockpile!$B$10:$B$26,0),MATCH($Q78,Stockpile!$C$30:$M$30,0)),
IFERROR(INDEX('Asphalt Silo &amp; Unloading'!$D$10:$M$44,MATCH(H$97,'Asphalt Silo &amp; Unloading'!$B$10:$B$44,0),MATCH($Q78,'Asphalt Silo &amp; Unloading'!$D$49:$M$49,0)),""))))))</f>
        <v/>
      </c>
      <c r="I78" s="590" t="str">
        <f>IFERROR(INDEX('Material Handling'!$C$10:$AH$33,MATCH(I$97,Material_Handling[Data],0),MATCH($Q78,'Material Handling'!$C$40:$AH$40,0)), IFERROR(INDEX('Drop Point'!$B$13:$M$36,MATCH(I$97,'Drop Point'!$B$13:$B$37,0),MATCH($Q78,'Drop Point'!$B$41:$M$41,0)),
IFERROR(INDEX('Control - Grain dscf'!$C$11:$N$27,MATCH(I$97,'Control - Grain dscf'!$B$11:$B$27,0),MATCH($Q78,'Control - Grain dscf'!$C$32:$N$32,0)),
IFERROR(INDEX('Control - Alt'!$C$9:$O$27,MATCH(I$97,'Control - Alt'!$B$9:$B$27,0),MATCH($Q78,'Control - Alt'!$C$32:$O$32,0)),
IFERROR(INDEX(Stockpile!$C$10:$M$26,MATCH(I$97,Stockpile!$B$10:$B$26,0),MATCH($Q78,Stockpile!$C$30:$M$30,0)),
IFERROR(INDEX('Asphalt Silo &amp; Unloading'!$D$10:$M$44,MATCH(I$97,'Asphalt Silo &amp; Unloading'!$B$10:$B$44,0),MATCH($Q78,'Asphalt Silo &amp; Unloading'!$D$49:$M$49,0)),""))))))</f>
        <v/>
      </c>
      <c r="J78" s="590" t="str">
        <f>IFERROR(INDEX('Material Handling'!$C$10:$AH$33,MATCH(J$97,Material_Handling[Data],0),MATCH($Q78,'Material Handling'!$C$40:$AH$40,0)), IFERROR(INDEX('Drop Point'!$B$13:$M$36,MATCH(J$97,'Drop Point'!$B$13:$B$37,0),MATCH($Q78,'Drop Point'!$B$41:$M$41,0)),
IFERROR(INDEX('Control - Grain dscf'!$C$11:$N$27,MATCH(J$97,'Control - Grain dscf'!$B$11:$B$27,0),MATCH($Q78,'Control - Grain dscf'!$C$32:$N$32,0)),
IFERROR(INDEX('Control - Alt'!$C$9:$O$27,MATCH(J$97,'Control - Alt'!$B$9:$B$27,0),MATCH($Q78,'Control - Alt'!$C$32:$O$32,0)),
IFERROR(INDEX(Stockpile!$C$10:$M$26,MATCH(J$97,Stockpile!$B$10:$B$26,0),MATCH($Q78,Stockpile!$C$30:$M$30,0)),
IFERROR(INDEX('Asphalt Silo &amp; Unloading'!$D$10:$M$44,MATCH(J$97,'Asphalt Silo &amp; Unloading'!$B$10:$B$44,0),MATCH($Q78,'Asphalt Silo &amp; Unloading'!$D$49:$M$49,0)),""))))))</f>
        <v/>
      </c>
      <c r="K78" s="590" t="str">
        <f>IFERROR(INDEX('Material Handling'!$C$10:$AH$33,MATCH(K$97,Material_Handling[Data],0),MATCH($Q78,'Material Handling'!$C$40:$AH$40,0)), IFERROR(INDEX('Drop Point'!$B$13:$M$36,MATCH(K$97,'Drop Point'!$B$13:$B$37,0),MATCH($Q78,'Drop Point'!$B$41:$M$41,0)),
IFERROR(INDEX('Control - Grain dscf'!$C$11:$N$27,MATCH(K$97,'Control - Grain dscf'!$B$11:$B$27,0),MATCH($Q78,'Control - Grain dscf'!$C$32:$N$32,0)),
IFERROR(INDEX('Control - Alt'!$C$9:$O$27,MATCH(K$97,'Control - Alt'!$B$9:$B$27,0),MATCH($Q78,'Control - Alt'!$C$32:$O$32,0)),
IFERROR(INDEX(Stockpile!$C$10:$M$26,MATCH(K$97,Stockpile!$B$10:$B$26,0),MATCH($Q78,Stockpile!$C$30:$M$30,0)),
IFERROR(INDEX('Asphalt Silo &amp; Unloading'!$D$10:$M$44,MATCH(K$97,'Asphalt Silo &amp; Unloading'!$B$10:$B$44,0),MATCH($Q78,'Asphalt Silo &amp; Unloading'!$D$49:$M$49,0)),""))))))</f>
        <v/>
      </c>
      <c r="L78" s="590" t="str">
        <f>IFERROR(INDEX('Material Handling'!$C$10:$AH$33,MATCH(L$97,Material_Handling[Data],0),MATCH($Q78,'Material Handling'!$C$40:$AH$40,0)), IFERROR(INDEX('Drop Point'!$B$13:$M$36,MATCH(L$97,'Drop Point'!$B$13:$B$37,0),MATCH($Q78,'Drop Point'!$B$41:$M$41,0)),
IFERROR(INDEX('Control - Grain dscf'!$C$11:$N$27,MATCH(L$97,'Control - Grain dscf'!$B$11:$B$27,0),MATCH($Q78,'Control - Grain dscf'!$C$32:$N$32,0)),
IFERROR(INDEX('Control - Alt'!$C$9:$O$27,MATCH(L$97,'Control - Alt'!$B$9:$B$27,0),MATCH($Q78,'Control - Alt'!$C$32:$O$32,0)),
IFERROR(INDEX(Stockpile!$C$10:$M$26,MATCH(L$97,Stockpile!$B$10:$B$26,0),MATCH($Q78,Stockpile!$C$30:$M$30,0)),
IFERROR(INDEX('Asphalt Silo &amp; Unloading'!$D$10:$M$44,MATCH(L$97,'Asphalt Silo &amp; Unloading'!$B$10:$B$44,0),MATCH($Q78,'Asphalt Silo &amp; Unloading'!$D$49:$M$49,0)),""))))))</f>
        <v/>
      </c>
      <c r="M78" s="590" t="str">
        <f>IFERROR(INDEX('Material Handling'!$C$10:$AH$33,MATCH(M$97,Material_Handling[Data],0),MATCH($Q78,'Material Handling'!$C$40:$AH$40,0)), IFERROR(INDEX('Drop Point'!$B$13:$M$36,MATCH(M$97,'Drop Point'!$B$13:$B$37,0),MATCH($Q78,'Drop Point'!$B$41:$M$41,0)),
IFERROR(INDEX('Control - Grain dscf'!$C$11:$N$27,MATCH(M$97,'Control - Grain dscf'!$B$11:$B$27,0),MATCH($Q78,'Control - Grain dscf'!$C$32:$N$32,0)),
IFERROR(INDEX('Control - Alt'!$C$9:$O$27,MATCH(M$97,'Control - Alt'!$B$9:$B$27,0),MATCH($Q78,'Control - Alt'!$C$32:$O$32,0)),
IFERROR(INDEX(Stockpile!$C$10:$M$26,MATCH(M$97,Stockpile!$B$10:$B$26,0),MATCH($Q78,Stockpile!$C$30:$M$30,0)),
IFERROR(INDEX('Asphalt Silo &amp; Unloading'!$D$10:$M$44,MATCH(M$97,'Asphalt Silo &amp; Unloading'!$B$10:$B$44,0),MATCH($Q78,'Asphalt Silo &amp; Unloading'!$D$49:$M$49,0)),""))))))</f>
        <v/>
      </c>
      <c r="N78" s="590" t="str">
        <f>IFERROR(INDEX('Material Handling'!$C$10:$AH$33,MATCH(N$97,Material_Handling[Data],0),MATCH($Q78,'Material Handling'!$C$40:$AH$40,0)), IFERROR(INDEX('Drop Point'!$B$13:$M$36,MATCH(N$97,'Drop Point'!$B$13:$B$37,0),MATCH($Q78,'Drop Point'!$B$41:$M$41,0)),
IFERROR(INDEX('Control - Grain dscf'!$C$11:$N$27,MATCH(N$97,'Control - Grain dscf'!$B$11:$B$27,0),MATCH($Q78,'Control - Grain dscf'!$C$32:$N$32,0)),
IFERROR(INDEX('Control - Alt'!$C$9:$O$27,MATCH(N$97,'Control - Alt'!$B$9:$B$27,0),MATCH($Q78,'Control - Alt'!$C$32:$O$32,0)),
IFERROR(INDEX(Stockpile!$C$10:$M$26,MATCH(N$97,Stockpile!$B$10:$B$26,0),MATCH($Q78,Stockpile!$C$30:$M$30,0)),
IFERROR(INDEX('Asphalt Silo &amp; Unloading'!$D$10:$M$44,MATCH(N$97,'Asphalt Silo &amp; Unloading'!$B$10:$B$44,0),MATCH($Q78,'Asphalt Silo &amp; Unloading'!$D$49:$M$49,0)),""))))))</f>
        <v/>
      </c>
      <c r="O78" s="591" t="str">
        <f>IFERROR(INDEX('Material Handling'!$C$10:$AH$33,MATCH(O$97,Material_Handling[Data],0),MATCH($Q78,'Material Handling'!$C$40:$AH$40,0)), IFERROR(INDEX('Drop Point'!$B$13:$M$36,MATCH(O$97,'Drop Point'!$B$13:$B$37,0),MATCH($Q78,'Drop Point'!$B$41:$M$41,0)),
IFERROR(INDEX('Control - Grain dscf'!$C$11:$N$27,MATCH(O$97,'Control - Grain dscf'!$B$11:$B$27,0),MATCH($Q78,'Control - Grain dscf'!$C$32:$N$32,0)),
IFERROR(INDEX('Control - Alt'!$C$9:$O$27,MATCH(O$97,'Control - Alt'!$B$9:$B$27,0),MATCH($Q78,'Control - Alt'!$C$32:$O$32,0)),
IFERROR(INDEX(Stockpile!$C$10:$M$26,MATCH(O$97,Stockpile!$B$10:$B$26,0),MATCH($Q78,Stockpile!$C$30:$M$30,0)),
IFERROR(INDEX('Asphalt Silo &amp; Unloading'!$D$10:$M$44,MATCH(O$97,'Asphalt Silo &amp; Unloading'!$B$10:$B$44,0),MATCH($Q78,'Asphalt Silo &amp; Unloading'!$D$49:$M$49,0)),""))))))</f>
        <v/>
      </c>
      <c r="Q78" s="131">
        <f t="shared" si="2"/>
        <v>70</v>
      </c>
    </row>
    <row r="79" spans="1:17" ht="20.100000000000001" customHeight="1">
      <c r="A79" s="293" t="str">
        <f>IFERROR(INDEX('Material Handling'!$C$10:$AH$33,MATCH(A$97,Material_Handling[Data],0),MATCH($Q79,'Material Handling'!$C$40:$AH$40,0)), IFERROR(INDEX('Drop Point'!$B$13:$M$36,MATCH(A$97,'Drop Point'!$B$13:$B$37,0),MATCH($Q79,'Drop Point'!$B$41:$M$41,0)),
IFERROR(INDEX('Control - Grain dscf'!$C$11:$N$27,MATCH(A$97,'Control - Grain dscf'!$B$11:$B$27,0),MATCH($Q79,'Control - Grain dscf'!$C$32:$N$32,0)),
IFERROR(INDEX('Control - Alt'!$C$9:$O$27,MATCH(A$97,'Control - Alt'!$B$9:$B$27,0),MATCH($Q79,'Control - Alt'!$C$32:$O$32,0)),
IFERROR(INDEX(Stockpile!$C$10:$M$26,MATCH(A$97,Stockpile!$B$10:$B$26,0),MATCH($Q79,Stockpile!$C$30:$M$30,0)),
IFERROR(INDEX('Asphalt Silo &amp; Unloading'!$D$10:$M$44,MATCH(A$97,'Asphalt Silo &amp; Unloading'!$B$10:$B$44,0),MATCH($Q79,'Asphalt Silo &amp; Unloading'!$D$49:$M$49,0)),""))))))</f>
        <v/>
      </c>
      <c r="B79" s="135" t="str">
        <f>IFERROR(INDEX('Material Handling'!$C$10:$AH$33,MATCH(B$97,Material_Handling[Data],0),MATCH($Q79,'Material Handling'!$C$40:$AH$40,0)), IFERROR(INDEX('Drop Point'!$B$13:$M$36,MATCH(B$97,'Drop Point'!$B$13:$B$37,0),MATCH($Q79,'Drop Point'!$B$41:$M$41,0)),
IFERROR(INDEX('Control - Grain dscf'!$C$11:$N$27,MATCH(B$97,'Control - Grain dscf'!$B$11:$B$27,0),MATCH($Q79,'Control - Grain dscf'!$C$32:$N$32,0)),
IFERROR(INDEX('Control - Alt'!$C$9:$O$27,MATCH(B$97,'Control - Alt'!$B$9:$B$27,0),MATCH($Q79,'Control - Alt'!$C$32:$O$32,0)),
IFERROR(INDEX(Stockpile!$C$10:$M$26,MATCH(B$97,Stockpile!$B$10:$B$26,0),MATCH($Q79,Stockpile!$C$30:$M$30,0)),
IFERROR(INDEX('Asphalt Silo &amp; Unloading'!$D$10:$M$44,MATCH(B$97,'Asphalt Silo &amp; Unloading'!$B$10:$B$44,0),MATCH($Q79,'Asphalt Silo &amp; Unloading'!$D$49:$M$49,0)),""))))))</f>
        <v/>
      </c>
      <c r="C79" s="135" t="str">
        <f>IFERROR(INDEX('Material Handling'!$C$10:$AH$33,MATCH(C$97,Material_Handling[Data],0),MATCH($Q79,'Material Handling'!$C$40:$AH$40,0)), IFERROR(INDEX('Drop Point'!$B$13:$M$36,MATCH(C$97,'Drop Point'!$B$13:$B$37,0),MATCH($Q79,'Drop Point'!$B$41:$M$41,0)),
IFERROR(INDEX('Control - Grain dscf'!$C$11:$N$27,MATCH(C$97,'Control - Grain dscf'!$B$11:$B$27,0),MATCH($Q79,'Control - Grain dscf'!$C$32:$N$32,0)),
IFERROR(INDEX('Control - Alt'!$C$9:$O$27,MATCH(C$97,'Control - Alt'!$B$9:$B$27,0),MATCH($Q79,'Control - Alt'!$C$32:$O$32,0)),
IFERROR(INDEX(Stockpile!$C$10:$M$26,MATCH(C$97,Stockpile!$B$10:$B$26,0),MATCH($Q79,Stockpile!$C$30:$M$30,0)),
IFERROR(INDEX('Asphalt Silo &amp; Unloading'!$D$10:$M$44,MATCH(C$97,'Asphalt Silo &amp; Unloading'!$B$10:$B$44,0),MATCH($Q79,'Asphalt Silo &amp; Unloading'!$D$49:$M$49,0)),""))))))</f>
        <v/>
      </c>
      <c r="D79" s="135" t="str">
        <f>IFERROR(INDEX('Material Handling'!$C$10:$AH$33,MATCH(D$97,Material_Handling[Data],0),MATCH($Q79,'Material Handling'!$C$40:$AH$40,0)), IFERROR(INDEX('Drop Point'!$B$13:$M$36,MATCH(D$97,'Drop Point'!$B$13:$B$37,0),MATCH($Q79,'Drop Point'!$B$41:$M$41,0)),
IFERROR(INDEX('Control - Grain dscf'!$C$11:$N$27,MATCH(D$97,'Control - Grain dscf'!$B$11:$B$27,0),MATCH($Q79,'Control - Grain dscf'!$C$32:$N$32,0)),
IFERROR(INDEX('Control - Alt'!$C$9:$O$27,MATCH(D$97,'Control - Alt'!$B$9:$B$27,0),MATCH($Q79,'Control - Alt'!$C$32:$O$32,0)),
IFERROR(INDEX(Stockpile!$C$10:$M$26,MATCH(D$97,Stockpile!$B$10:$B$26,0),MATCH($Q79,Stockpile!$C$30:$M$30,0)),
IFERROR(INDEX('Asphalt Silo &amp; Unloading'!$D$10:$M$44,MATCH(D$97,'Asphalt Silo &amp; Unloading'!$B$10:$B$44,0),MATCH($Q79,'Asphalt Silo &amp; Unloading'!$D$49:$M$49,0)),""))))))</f>
        <v/>
      </c>
      <c r="E79" s="620" t="str">
        <f>IFERROR(INDEX('Material Handling'!$C$10:$AH$33,MATCH(E$97,Material_Handling[Data],0),MATCH($Q79,'Material Handling'!$C$40:$AH$40,0)), IFERROR(INDEX('Drop Point'!$B$13:$M$36,MATCH(E$97,'Drop Point'!$B$13:$B$37,0),MATCH($Q79,'Drop Point'!$B$41:$M$41,0)),
IFERROR(INDEX('Control - Grain dscf'!$C$11:$N$27,MATCH(E$97,'Control - Grain dscf'!$B$11:$B$27,0),MATCH($Q79,'Control - Grain dscf'!$C$32:$N$32,0)),
IFERROR(INDEX('Control - Alt'!$C$9:$O$27,MATCH(E$97,'Control - Alt'!$B$9:$B$27,0),MATCH($Q79,'Control - Alt'!$C$32:$O$32,0)),
IFERROR(INDEX(Stockpile!$C$10:$M$26,MATCH(E$97,Stockpile!$B$10:$B$26,0),MATCH($Q79,Stockpile!$C$30:$M$30,0)),
IFERROR(INDEX('Asphalt Silo &amp; Unloading'!$D$10:$M$44,MATCH(E$97,'Asphalt Silo &amp; Unloading'!$B$10:$B$44,0),MATCH($Q79,'Asphalt Silo &amp; Unloading'!$D$49:$M$49,0)),""))))))</f>
        <v/>
      </c>
      <c r="F79" s="590" t="str">
        <f>IFERROR(INDEX('Material Handling'!$C$10:$AH$33,MATCH(F$97,Material_Handling[Data],0),MATCH($Q79,'Material Handling'!$C$40:$AH$40,0)), IFERROR(INDEX('Drop Point'!$B$13:$M$36,MATCH(F$97,'Drop Point'!$B$13:$B$37,0),MATCH($Q79,'Drop Point'!$B$41:$M$41,0)),
IFERROR(INDEX('Control - Grain dscf'!$C$11:$N$27,MATCH(F$97,'Control - Grain dscf'!$B$11:$B$27,0),MATCH($Q79,'Control - Grain dscf'!$C$32:$N$32,0)),
IFERROR(INDEX('Control - Alt'!$C$9:$O$27,MATCH(F$97,'Control - Alt'!$B$9:$B$27,0),MATCH($Q79,'Control - Alt'!$C$32:$O$32,0)),
IFERROR(INDEX(Stockpile!$C$10:$M$26,MATCH(F$97,Stockpile!$B$10:$B$26,0),MATCH($Q79,Stockpile!$C$30:$M$30,0)),
IFERROR(INDEX('Asphalt Silo &amp; Unloading'!$D$10:$M$44,MATCH(F$97,'Asphalt Silo &amp; Unloading'!$B$10:$B$44,0),MATCH($Q79,'Asphalt Silo &amp; Unloading'!$D$49:$M$49,0)),""))))))</f>
        <v/>
      </c>
      <c r="G79" s="590" t="str">
        <f>IFERROR(INDEX('Material Handling'!$C$10:$AH$33,MATCH(G$97,Material_Handling[Data],0),MATCH($Q79,'Material Handling'!$C$40:$AH$40,0)), IFERROR(INDEX('Drop Point'!$B$13:$M$36,MATCH(G$97,'Drop Point'!$B$13:$B$37,0),MATCH($Q79,'Drop Point'!$B$41:$M$41,0)),
IFERROR(INDEX('Control - Grain dscf'!$C$11:$N$27,MATCH(G$97,'Control - Grain dscf'!$B$11:$B$27,0),MATCH($Q79,'Control - Grain dscf'!$C$32:$N$32,0)),
IFERROR(INDEX('Control - Alt'!$C$9:$O$27,MATCH(G$97,'Control - Alt'!$B$9:$B$27,0),MATCH($Q79,'Control - Alt'!$C$32:$O$32,0)),
IFERROR(INDEX(Stockpile!$C$10:$M$26,MATCH(G$97,Stockpile!$B$10:$B$26,0),MATCH($Q79,Stockpile!$C$30:$M$30,0)),
IFERROR(INDEX('Asphalt Silo &amp; Unloading'!$D$10:$M$44,MATCH(G$97,'Asphalt Silo &amp; Unloading'!$B$10:$B$44,0),MATCH($Q79,'Asphalt Silo &amp; Unloading'!$D$49:$M$49,0)),""))))))</f>
        <v/>
      </c>
      <c r="H79" s="590" t="str">
        <f>IFERROR(INDEX('Material Handling'!$C$10:$AH$33,MATCH(H$97,Material_Handling[Data],0),MATCH($Q79,'Material Handling'!$C$40:$AH$40,0)), IFERROR(INDEX('Drop Point'!$B$13:$M$36,MATCH(H$97,'Drop Point'!$B$13:$B$37,0),MATCH($Q79,'Drop Point'!$B$41:$M$41,0)),
IFERROR(INDEX('Control - Grain dscf'!$C$11:$N$27,MATCH(H$97,'Control - Grain dscf'!$B$11:$B$27,0),MATCH($Q79,'Control - Grain dscf'!$C$32:$N$32,0)),
IFERROR(INDEX('Control - Alt'!$C$9:$O$27,MATCH(H$97,'Control - Alt'!$B$9:$B$27,0),MATCH($Q79,'Control - Alt'!$C$32:$O$32,0)),
IFERROR(INDEX(Stockpile!$C$10:$M$26,MATCH(H$97,Stockpile!$B$10:$B$26,0),MATCH($Q79,Stockpile!$C$30:$M$30,0)),
IFERROR(INDEX('Asphalt Silo &amp; Unloading'!$D$10:$M$44,MATCH(H$97,'Asphalt Silo &amp; Unloading'!$B$10:$B$44,0),MATCH($Q79,'Asphalt Silo &amp; Unloading'!$D$49:$M$49,0)),""))))))</f>
        <v/>
      </c>
      <c r="I79" s="590" t="str">
        <f>IFERROR(INDEX('Material Handling'!$C$10:$AH$33,MATCH(I$97,Material_Handling[Data],0),MATCH($Q79,'Material Handling'!$C$40:$AH$40,0)), IFERROR(INDEX('Drop Point'!$B$13:$M$36,MATCH(I$97,'Drop Point'!$B$13:$B$37,0),MATCH($Q79,'Drop Point'!$B$41:$M$41,0)),
IFERROR(INDEX('Control - Grain dscf'!$C$11:$N$27,MATCH(I$97,'Control - Grain dscf'!$B$11:$B$27,0),MATCH($Q79,'Control - Grain dscf'!$C$32:$N$32,0)),
IFERROR(INDEX('Control - Alt'!$C$9:$O$27,MATCH(I$97,'Control - Alt'!$B$9:$B$27,0),MATCH($Q79,'Control - Alt'!$C$32:$O$32,0)),
IFERROR(INDEX(Stockpile!$C$10:$M$26,MATCH(I$97,Stockpile!$B$10:$B$26,0),MATCH($Q79,Stockpile!$C$30:$M$30,0)),
IFERROR(INDEX('Asphalt Silo &amp; Unloading'!$D$10:$M$44,MATCH(I$97,'Asphalt Silo &amp; Unloading'!$B$10:$B$44,0),MATCH($Q79,'Asphalt Silo &amp; Unloading'!$D$49:$M$49,0)),""))))))</f>
        <v/>
      </c>
      <c r="J79" s="590" t="str">
        <f>IFERROR(INDEX('Material Handling'!$C$10:$AH$33,MATCH(J$97,Material_Handling[Data],0),MATCH($Q79,'Material Handling'!$C$40:$AH$40,0)), IFERROR(INDEX('Drop Point'!$B$13:$M$36,MATCH(J$97,'Drop Point'!$B$13:$B$37,0),MATCH($Q79,'Drop Point'!$B$41:$M$41,0)),
IFERROR(INDEX('Control - Grain dscf'!$C$11:$N$27,MATCH(J$97,'Control - Grain dscf'!$B$11:$B$27,0),MATCH($Q79,'Control - Grain dscf'!$C$32:$N$32,0)),
IFERROR(INDEX('Control - Alt'!$C$9:$O$27,MATCH(J$97,'Control - Alt'!$B$9:$B$27,0),MATCH($Q79,'Control - Alt'!$C$32:$O$32,0)),
IFERROR(INDEX(Stockpile!$C$10:$M$26,MATCH(J$97,Stockpile!$B$10:$B$26,0),MATCH($Q79,Stockpile!$C$30:$M$30,0)),
IFERROR(INDEX('Asphalt Silo &amp; Unloading'!$D$10:$M$44,MATCH(J$97,'Asphalt Silo &amp; Unloading'!$B$10:$B$44,0),MATCH($Q79,'Asphalt Silo &amp; Unloading'!$D$49:$M$49,0)),""))))))</f>
        <v/>
      </c>
      <c r="K79" s="590" t="str">
        <f>IFERROR(INDEX('Material Handling'!$C$10:$AH$33,MATCH(K$97,Material_Handling[Data],0),MATCH($Q79,'Material Handling'!$C$40:$AH$40,0)), IFERROR(INDEX('Drop Point'!$B$13:$M$36,MATCH(K$97,'Drop Point'!$B$13:$B$37,0),MATCH($Q79,'Drop Point'!$B$41:$M$41,0)),
IFERROR(INDEX('Control - Grain dscf'!$C$11:$N$27,MATCH(K$97,'Control - Grain dscf'!$B$11:$B$27,0),MATCH($Q79,'Control - Grain dscf'!$C$32:$N$32,0)),
IFERROR(INDEX('Control - Alt'!$C$9:$O$27,MATCH(K$97,'Control - Alt'!$B$9:$B$27,0),MATCH($Q79,'Control - Alt'!$C$32:$O$32,0)),
IFERROR(INDEX(Stockpile!$C$10:$M$26,MATCH(K$97,Stockpile!$B$10:$B$26,0),MATCH($Q79,Stockpile!$C$30:$M$30,0)),
IFERROR(INDEX('Asphalt Silo &amp; Unloading'!$D$10:$M$44,MATCH(K$97,'Asphalt Silo &amp; Unloading'!$B$10:$B$44,0),MATCH($Q79,'Asphalt Silo &amp; Unloading'!$D$49:$M$49,0)),""))))))</f>
        <v/>
      </c>
      <c r="L79" s="590" t="str">
        <f>IFERROR(INDEX('Material Handling'!$C$10:$AH$33,MATCH(L$97,Material_Handling[Data],0),MATCH($Q79,'Material Handling'!$C$40:$AH$40,0)), IFERROR(INDEX('Drop Point'!$B$13:$M$36,MATCH(L$97,'Drop Point'!$B$13:$B$37,0),MATCH($Q79,'Drop Point'!$B$41:$M$41,0)),
IFERROR(INDEX('Control - Grain dscf'!$C$11:$N$27,MATCH(L$97,'Control - Grain dscf'!$B$11:$B$27,0),MATCH($Q79,'Control - Grain dscf'!$C$32:$N$32,0)),
IFERROR(INDEX('Control - Alt'!$C$9:$O$27,MATCH(L$97,'Control - Alt'!$B$9:$B$27,0),MATCH($Q79,'Control - Alt'!$C$32:$O$32,0)),
IFERROR(INDEX(Stockpile!$C$10:$M$26,MATCH(L$97,Stockpile!$B$10:$B$26,0),MATCH($Q79,Stockpile!$C$30:$M$30,0)),
IFERROR(INDEX('Asphalt Silo &amp; Unloading'!$D$10:$M$44,MATCH(L$97,'Asphalt Silo &amp; Unloading'!$B$10:$B$44,0),MATCH($Q79,'Asphalt Silo &amp; Unloading'!$D$49:$M$49,0)),""))))))</f>
        <v/>
      </c>
      <c r="M79" s="590" t="str">
        <f>IFERROR(INDEX('Material Handling'!$C$10:$AH$33,MATCH(M$97,Material_Handling[Data],0),MATCH($Q79,'Material Handling'!$C$40:$AH$40,0)), IFERROR(INDEX('Drop Point'!$B$13:$M$36,MATCH(M$97,'Drop Point'!$B$13:$B$37,0),MATCH($Q79,'Drop Point'!$B$41:$M$41,0)),
IFERROR(INDEX('Control - Grain dscf'!$C$11:$N$27,MATCH(M$97,'Control - Grain dscf'!$B$11:$B$27,0),MATCH($Q79,'Control - Grain dscf'!$C$32:$N$32,0)),
IFERROR(INDEX('Control - Alt'!$C$9:$O$27,MATCH(M$97,'Control - Alt'!$B$9:$B$27,0),MATCH($Q79,'Control - Alt'!$C$32:$O$32,0)),
IFERROR(INDEX(Stockpile!$C$10:$M$26,MATCH(M$97,Stockpile!$B$10:$B$26,0),MATCH($Q79,Stockpile!$C$30:$M$30,0)),
IFERROR(INDEX('Asphalt Silo &amp; Unloading'!$D$10:$M$44,MATCH(M$97,'Asphalt Silo &amp; Unloading'!$B$10:$B$44,0),MATCH($Q79,'Asphalt Silo &amp; Unloading'!$D$49:$M$49,0)),""))))))</f>
        <v/>
      </c>
      <c r="N79" s="590" t="str">
        <f>IFERROR(INDEX('Material Handling'!$C$10:$AH$33,MATCH(N$97,Material_Handling[Data],0),MATCH($Q79,'Material Handling'!$C$40:$AH$40,0)), IFERROR(INDEX('Drop Point'!$B$13:$M$36,MATCH(N$97,'Drop Point'!$B$13:$B$37,0),MATCH($Q79,'Drop Point'!$B$41:$M$41,0)),
IFERROR(INDEX('Control - Grain dscf'!$C$11:$N$27,MATCH(N$97,'Control - Grain dscf'!$B$11:$B$27,0),MATCH($Q79,'Control - Grain dscf'!$C$32:$N$32,0)),
IFERROR(INDEX('Control - Alt'!$C$9:$O$27,MATCH(N$97,'Control - Alt'!$B$9:$B$27,0),MATCH($Q79,'Control - Alt'!$C$32:$O$32,0)),
IFERROR(INDEX(Stockpile!$C$10:$M$26,MATCH(N$97,Stockpile!$B$10:$B$26,0),MATCH($Q79,Stockpile!$C$30:$M$30,0)),
IFERROR(INDEX('Asphalt Silo &amp; Unloading'!$D$10:$M$44,MATCH(N$97,'Asphalt Silo &amp; Unloading'!$B$10:$B$44,0),MATCH($Q79,'Asphalt Silo &amp; Unloading'!$D$49:$M$49,0)),""))))))</f>
        <v/>
      </c>
      <c r="O79" s="591" t="str">
        <f>IFERROR(INDEX('Material Handling'!$C$10:$AH$33,MATCH(O$97,Material_Handling[Data],0),MATCH($Q79,'Material Handling'!$C$40:$AH$40,0)), IFERROR(INDEX('Drop Point'!$B$13:$M$36,MATCH(O$97,'Drop Point'!$B$13:$B$37,0),MATCH($Q79,'Drop Point'!$B$41:$M$41,0)),
IFERROR(INDEX('Control - Grain dscf'!$C$11:$N$27,MATCH(O$97,'Control - Grain dscf'!$B$11:$B$27,0),MATCH($Q79,'Control - Grain dscf'!$C$32:$N$32,0)),
IFERROR(INDEX('Control - Alt'!$C$9:$O$27,MATCH(O$97,'Control - Alt'!$B$9:$B$27,0),MATCH($Q79,'Control - Alt'!$C$32:$O$32,0)),
IFERROR(INDEX(Stockpile!$C$10:$M$26,MATCH(O$97,Stockpile!$B$10:$B$26,0),MATCH($Q79,Stockpile!$C$30:$M$30,0)),
IFERROR(INDEX('Asphalt Silo &amp; Unloading'!$D$10:$M$44,MATCH(O$97,'Asphalt Silo &amp; Unloading'!$B$10:$B$44,0),MATCH($Q79,'Asphalt Silo &amp; Unloading'!$D$49:$M$49,0)),""))))))</f>
        <v/>
      </c>
      <c r="Q79" s="131">
        <f t="shared" si="2"/>
        <v>71</v>
      </c>
    </row>
    <row r="80" spans="1:17" ht="20.100000000000001" customHeight="1">
      <c r="A80" s="293" t="str">
        <f>IFERROR(INDEX('Material Handling'!$C$10:$AH$33,MATCH(A$97,Material_Handling[Data],0),MATCH($Q80,'Material Handling'!$C$40:$AH$40,0)), IFERROR(INDEX('Drop Point'!$B$13:$M$36,MATCH(A$97,'Drop Point'!$B$13:$B$37,0),MATCH($Q80,'Drop Point'!$B$41:$M$41,0)),
IFERROR(INDEX('Control - Grain dscf'!$C$11:$N$27,MATCH(A$97,'Control - Grain dscf'!$B$11:$B$27,0),MATCH($Q80,'Control - Grain dscf'!$C$32:$N$32,0)),
IFERROR(INDEX('Control - Alt'!$C$9:$O$27,MATCH(A$97,'Control - Alt'!$B$9:$B$27,0),MATCH($Q80,'Control - Alt'!$C$32:$O$32,0)),
IFERROR(INDEX(Stockpile!$C$10:$M$26,MATCH(A$97,Stockpile!$B$10:$B$26,0),MATCH($Q80,Stockpile!$C$30:$M$30,0)),
IFERROR(INDEX('Asphalt Silo &amp; Unloading'!$D$10:$M$44,MATCH(A$97,'Asphalt Silo &amp; Unloading'!$B$10:$B$44,0),MATCH($Q80,'Asphalt Silo &amp; Unloading'!$D$49:$M$49,0)),""))))))</f>
        <v/>
      </c>
      <c r="B80" s="135" t="str">
        <f>IFERROR(INDEX('Material Handling'!$C$10:$AH$33,MATCH(B$97,Material_Handling[Data],0),MATCH($Q80,'Material Handling'!$C$40:$AH$40,0)), IFERROR(INDEX('Drop Point'!$B$13:$M$36,MATCH(B$97,'Drop Point'!$B$13:$B$37,0),MATCH($Q80,'Drop Point'!$B$41:$M$41,0)),
IFERROR(INDEX('Control - Grain dscf'!$C$11:$N$27,MATCH(B$97,'Control - Grain dscf'!$B$11:$B$27,0),MATCH($Q80,'Control - Grain dscf'!$C$32:$N$32,0)),
IFERROR(INDEX('Control - Alt'!$C$9:$O$27,MATCH(B$97,'Control - Alt'!$B$9:$B$27,0),MATCH($Q80,'Control - Alt'!$C$32:$O$32,0)),
IFERROR(INDEX(Stockpile!$C$10:$M$26,MATCH(B$97,Stockpile!$B$10:$B$26,0),MATCH($Q80,Stockpile!$C$30:$M$30,0)),
IFERROR(INDEX('Asphalt Silo &amp; Unloading'!$D$10:$M$44,MATCH(B$97,'Asphalt Silo &amp; Unloading'!$B$10:$B$44,0),MATCH($Q80,'Asphalt Silo &amp; Unloading'!$D$49:$M$49,0)),""))))))</f>
        <v/>
      </c>
      <c r="C80" s="135" t="str">
        <f>IFERROR(INDEX('Material Handling'!$C$10:$AH$33,MATCH(C$97,Material_Handling[Data],0),MATCH($Q80,'Material Handling'!$C$40:$AH$40,0)), IFERROR(INDEX('Drop Point'!$B$13:$M$36,MATCH(C$97,'Drop Point'!$B$13:$B$37,0),MATCH($Q80,'Drop Point'!$B$41:$M$41,0)),
IFERROR(INDEX('Control - Grain dscf'!$C$11:$N$27,MATCH(C$97,'Control - Grain dscf'!$B$11:$B$27,0),MATCH($Q80,'Control - Grain dscf'!$C$32:$N$32,0)),
IFERROR(INDEX('Control - Alt'!$C$9:$O$27,MATCH(C$97,'Control - Alt'!$B$9:$B$27,0),MATCH($Q80,'Control - Alt'!$C$32:$O$32,0)),
IFERROR(INDEX(Stockpile!$C$10:$M$26,MATCH(C$97,Stockpile!$B$10:$B$26,0),MATCH($Q80,Stockpile!$C$30:$M$30,0)),
IFERROR(INDEX('Asphalt Silo &amp; Unloading'!$D$10:$M$44,MATCH(C$97,'Asphalt Silo &amp; Unloading'!$B$10:$B$44,0),MATCH($Q80,'Asphalt Silo &amp; Unloading'!$D$49:$M$49,0)),""))))))</f>
        <v/>
      </c>
      <c r="D80" s="135" t="str">
        <f>IFERROR(INDEX('Material Handling'!$C$10:$AH$33,MATCH(D$97,Material_Handling[Data],0),MATCH($Q80,'Material Handling'!$C$40:$AH$40,0)), IFERROR(INDEX('Drop Point'!$B$13:$M$36,MATCH(D$97,'Drop Point'!$B$13:$B$37,0),MATCH($Q80,'Drop Point'!$B$41:$M$41,0)),
IFERROR(INDEX('Control - Grain dscf'!$C$11:$N$27,MATCH(D$97,'Control - Grain dscf'!$B$11:$B$27,0),MATCH($Q80,'Control - Grain dscf'!$C$32:$N$32,0)),
IFERROR(INDEX('Control - Alt'!$C$9:$O$27,MATCH(D$97,'Control - Alt'!$B$9:$B$27,0),MATCH($Q80,'Control - Alt'!$C$32:$O$32,0)),
IFERROR(INDEX(Stockpile!$C$10:$M$26,MATCH(D$97,Stockpile!$B$10:$B$26,0),MATCH($Q80,Stockpile!$C$30:$M$30,0)),
IFERROR(INDEX('Asphalt Silo &amp; Unloading'!$D$10:$M$44,MATCH(D$97,'Asphalt Silo &amp; Unloading'!$B$10:$B$44,0),MATCH($Q80,'Asphalt Silo &amp; Unloading'!$D$49:$M$49,0)),""))))))</f>
        <v/>
      </c>
      <c r="E80" s="620" t="str">
        <f>IFERROR(INDEX('Material Handling'!$C$10:$AH$33,MATCH(E$97,Material_Handling[Data],0),MATCH($Q80,'Material Handling'!$C$40:$AH$40,0)), IFERROR(INDEX('Drop Point'!$B$13:$M$36,MATCH(E$97,'Drop Point'!$B$13:$B$37,0),MATCH($Q80,'Drop Point'!$B$41:$M$41,0)),
IFERROR(INDEX('Control - Grain dscf'!$C$11:$N$27,MATCH(E$97,'Control - Grain dscf'!$B$11:$B$27,0),MATCH($Q80,'Control - Grain dscf'!$C$32:$N$32,0)),
IFERROR(INDEX('Control - Alt'!$C$9:$O$27,MATCH(E$97,'Control - Alt'!$B$9:$B$27,0),MATCH($Q80,'Control - Alt'!$C$32:$O$32,0)),
IFERROR(INDEX(Stockpile!$C$10:$M$26,MATCH(E$97,Stockpile!$B$10:$B$26,0),MATCH($Q80,Stockpile!$C$30:$M$30,0)),
IFERROR(INDEX('Asphalt Silo &amp; Unloading'!$D$10:$M$44,MATCH(E$97,'Asphalt Silo &amp; Unloading'!$B$10:$B$44,0),MATCH($Q80,'Asphalt Silo &amp; Unloading'!$D$49:$M$49,0)),""))))))</f>
        <v/>
      </c>
      <c r="F80" s="590" t="str">
        <f>IFERROR(INDEX('Material Handling'!$C$10:$AH$33,MATCH(F$97,Material_Handling[Data],0),MATCH($Q80,'Material Handling'!$C$40:$AH$40,0)), IFERROR(INDEX('Drop Point'!$B$13:$M$36,MATCH(F$97,'Drop Point'!$B$13:$B$37,0),MATCH($Q80,'Drop Point'!$B$41:$M$41,0)),
IFERROR(INDEX('Control - Grain dscf'!$C$11:$N$27,MATCH(F$97,'Control - Grain dscf'!$B$11:$B$27,0),MATCH($Q80,'Control - Grain dscf'!$C$32:$N$32,0)),
IFERROR(INDEX('Control - Alt'!$C$9:$O$27,MATCH(F$97,'Control - Alt'!$B$9:$B$27,0),MATCH($Q80,'Control - Alt'!$C$32:$O$32,0)),
IFERROR(INDEX(Stockpile!$C$10:$M$26,MATCH(F$97,Stockpile!$B$10:$B$26,0),MATCH($Q80,Stockpile!$C$30:$M$30,0)),
IFERROR(INDEX('Asphalt Silo &amp; Unloading'!$D$10:$M$44,MATCH(F$97,'Asphalt Silo &amp; Unloading'!$B$10:$B$44,0),MATCH($Q80,'Asphalt Silo &amp; Unloading'!$D$49:$M$49,0)),""))))))</f>
        <v/>
      </c>
      <c r="G80" s="590" t="str">
        <f>IFERROR(INDEX('Material Handling'!$C$10:$AH$33,MATCH(G$97,Material_Handling[Data],0),MATCH($Q80,'Material Handling'!$C$40:$AH$40,0)), IFERROR(INDEX('Drop Point'!$B$13:$M$36,MATCH(G$97,'Drop Point'!$B$13:$B$37,0),MATCH($Q80,'Drop Point'!$B$41:$M$41,0)),
IFERROR(INDEX('Control - Grain dscf'!$C$11:$N$27,MATCH(G$97,'Control - Grain dscf'!$B$11:$B$27,0),MATCH($Q80,'Control - Grain dscf'!$C$32:$N$32,0)),
IFERROR(INDEX('Control - Alt'!$C$9:$O$27,MATCH(G$97,'Control - Alt'!$B$9:$B$27,0),MATCH($Q80,'Control - Alt'!$C$32:$O$32,0)),
IFERROR(INDEX(Stockpile!$C$10:$M$26,MATCH(G$97,Stockpile!$B$10:$B$26,0),MATCH($Q80,Stockpile!$C$30:$M$30,0)),
IFERROR(INDEX('Asphalt Silo &amp; Unloading'!$D$10:$M$44,MATCH(G$97,'Asphalt Silo &amp; Unloading'!$B$10:$B$44,0),MATCH($Q80,'Asphalt Silo &amp; Unloading'!$D$49:$M$49,0)),""))))))</f>
        <v/>
      </c>
      <c r="H80" s="590" t="str">
        <f>IFERROR(INDEX('Material Handling'!$C$10:$AH$33,MATCH(H$97,Material_Handling[Data],0),MATCH($Q80,'Material Handling'!$C$40:$AH$40,0)), IFERROR(INDEX('Drop Point'!$B$13:$M$36,MATCH(H$97,'Drop Point'!$B$13:$B$37,0),MATCH($Q80,'Drop Point'!$B$41:$M$41,0)),
IFERROR(INDEX('Control - Grain dscf'!$C$11:$N$27,MATCH(H$97,'Control - Grain dscf'!$B$11:$B$27,0),MATCH($Q80,'Control - Grain dscf'!$C$32:$N$32,0)),
IFERROR(INDEX('Control - Alt'!$C$9:$O$27,MATCH(H$97,'Control - Alt'!$B$9:$B$27,0),MATCH($Q80,'Control - Alt'!$C$32:$O$32,0)),
IFERROR(INDEX(Stockpile!$C$10:$M$26,MATCH(H$97,Stockpile!$B$10:$B$26,0),MATCH($Q80,Stockpile!$C$30:$M$30,0)),
IFERROR(INDEX('Asphalt Silo &amp; Unloading'!$D$10:$M$44,MATCH(H$97,'Asphalt Silo &amp; Unloading'!$B$10:$B$44,0),MATCH($Q80,'Asphalt Silo &amp; Unloading'!$D$49:$M$49,0)),""))))))</f>
        <v/>
      </c>
      <c r="I80" s="590" t="str">
        <f>IFERROR(INDEX('Material Handling'!$C$10:$AH$33,MATCH(I$97,Material_Handling[Data],0),MATCH($Q80,'Material Handling'!$C$40:$AH$40,0)), IFERROR(INDEX('Drop Point'!$B$13:$M$36,MATCH(I$97,'Drop Point'!$B$13:$B$37,0),MATCH($Q80,'Drop Point'!$B$41:$M$41,0)),
IFERROR(INDEX('Control - Grain dscf'!$C$11:$N$27,MATCH(I$97,'Control - Grain dscf'!$B$11:$B$27,0),MATCH($Q80,'Control - Grain dscf'!$C$32:$N$32,0)),
IFERROR(INDEX('Control - Alt'!$C$9:$O$27,MATCH(I$97,'Control - Alt'!$B$9:$B$27,0),MATCH($Q80,'Control - Alt'!$C$32:$O$32,0)),
IFERROR(INDEX(Stockpile!$C$10:$M$26,MATCH(I$97,Stockpile!$B$10:$B$26,0),MATCH($Q80,Stockpile!$C$30:$M$30,0)),
IFERROR(INDEX('Asphalt Silo &amp; Unloading'!$D$10:$M$44,MATCH(I$97,'Asphalt Silo &amp; Unloading'!$B$10:$B$44,0),MATCH($Q80,'Asphalt Silo &amp; Unloading'!$D$49:$M$49,0)),""))))))</f>
        <v/>
      </c>
      <c r="J80" s="590" t="str">
        <f>IFERROR(INDEX('Material Handling'!$C$10:$AH$33,MATCH(J$97,Material_Handling[Data],0),MATCH($Q80,'Material Handling'!$C$40:$AH$40,0)), IFERROR(INDEX('Drop Point'!$B$13:$M$36,MATCH(J$97,'Drop Point'!$B$13:$B$37,0),MATCH($Q80,'Drop Point'!$B$41:$M$41,0)),
IFERROR(INDEX('Control - Grain dscf'!$C$11:$N$27,MATCH(J$97,'Control - Grain dscf'!$B$11:$B$27,0),MATCH($Q80,'Control - Grain dscf'!$C$32:$N$32,0)),
IFERROR(INDEX('Control - Alt'!$C$9:$O$27,MATCH(J$97,'Control - Alt'!$B$9:$B$27,0),MATCH($Q80,'Control - Alt'!$C$32:$O$32,0)),
IFERROR(INDEX(Stockpile!$C$10:$M$26,MATCH(J$97,Stockpile!$B$10:$B$26,0),MATCH($Q80,Stockpile!$C$30:$M$30,0)),
IFERROR(INDEX('Asphalt Silo &amp; Unloading'!$D$10:$M$44,MATCH(J$97,'Asphalt Silo &amp; Unloading'!$B$10:$B$44,0),MATCH($Q80,'Asphalt Silo &amp; Unloading'!$D$49:$M$49,0)),""))))))</f>
        <v/>
      </c>
      <c r="K80" s="590" t="str">
        <f>IFERROR(INDEX('Material Handling'!$C$10:$AH$33,MATCH(K$97,Material_Handling[Data],0),MATCH($Q80,'Material Handling'!$C$40:$AH$40,0)), IFERROR(INDEX('Drop Point'!$B$13:$M$36,MATCH(K$97,'Drop Point'!$B$13:$B$37,0),MATCH($Q80,'Drop Point'!$B$41:$M$41,0)),
IFERROR(INDEX('Control - Grain dscf'!$C$11:$N$27,MATCH(K$97,'Control - Grain dscf'!$B$11:$B$27,0),MATCH($Q80,'Control - Grain dscf'!$C$32:$N$32,0)),
IFERROR(INDEX('Control - Alt'!$C$9:$O$27,MATCH(K$97,'Control - Alt'!$B$9:$B$27,0),MATCH($Q80,'Control - Alt'!$C$32:$O$32,0)),
IFERROR(INDEX(Stockpile!$C$10:$M$26,MATCH(K$97,Stockpile!$B$10:$B$26,0),MATCH($Q80,Stockpile!$C$30:$M$30,0)),
IFERROR(INDEX('Asphalt Silo &amp; Unloading'!$D$10:$M$44,MATCH(K$97,'Asphalt Silo &amp; Unloading'!$B$10:$B$44,0),MATCH($Q80,'Asphalt Silo &amp; Unloading'!$D$49:$M$49,0)),""))))))</f>
        <v/>
      </c>
      <c r="L80" s="590" t="str">
        <f>IFERROR(INDEX('Material Handling'!$C$10:$AH$33,MATCH(L$97,Material_Handling[Data],0),MATCH($Q80,'Material Handling'!$C$40:$AH$40,0)), IFERROR(INDEX('Drop Point'!$B$13:$M$36,MATCH(L$97,'Drop Point'!$B$13:$B$37,0),MATCH($Q80,'Drop Point'!$B$41:$M$41,0)),
IFERROR(INDEX('Control - Grain dscf'!$C$11:$N$27,MATCH(L$97,'Control - Grain dscf'!$B$11:$B$27,0),MATCH($Q80,'Control - Grain dscf'!$C$32:$N$32,0)),
IFERROR(INDEX('Control - Alt'!$C$9:$O$27,MATCH(L$97,'Control - Alt'!$B$9:$B$27,0),MATCH($Q80,'Control - Alt'!$C$32:$O$32,0)),
IFERROR(INDEX(Stockpile!$C$10:$M$26,MATCH(L$97,Stockpile!$B$10:$B$26,0),MATCH($Q80,Stockpile!$C$30:$M$30,0)),
IFERROR(INDEX('Asphalt Silo &amp; Unloading'!$D$10:$M$44,MATCH(L$97,'Asphalt Silo &amp; Unloading'!$B$10:$B$44,0),MATCH($Q80,'Asphalt Silo &amp; Unloading'!$D$49:$M$49,0)),""))))))</f>
        <v/>
      </c>
      <c r="M80" s="590" t="str">
        <f>IFERROR(INDEX('Material Handling'!$C$10:$AH$33,MATCH(M$97,Material_Handling[Data],0),MATCH($Q80,'Material Handling'!$C$40:$AH$40,0)), IFERROR(INDEX('Drop Point'!$B$13:$M$36,MATCH(M$97,'Drop Point'!$B$13:$B$37,0),MATCH($Q80,'Drop Point'!$B$41:$M$41,0)),
IFERROR(INDEX('Control - Grain dscf'!$C$11:$N$27,MATCH(M$97,'Control - Grain dscf'!$B$11:$B$27,0),MATCH($Q80,'Control - Grain dscf'!$C$32:$N$32,0)),
IFERROR(INDEX('Control - Alt'!$C$9:$O$27,MATCH(M$97,'Control - Alt'!$B$9:$B$27,0),MATCH($Q80,'Control - Alt'!$C$32:$O$32,0)),
IFERROR(INDEX(Stockpile!$C$10:$M$26,MATCH(M$97,Stockpile!$B$10:$B$26,0),MATCH($Q80,Stockpile!$C$30:$M$30,0)),
IFERROR(INDEX('Asphalt Silo &amp; Unloading'!$D$10:$M$44,MATCH(M$97,'Asphalt Silo &amp; Unloading'!$B$10:$B$44,0),MATCH($Q80,'Asphalt Silo &amp; Unloading'!$D$49:$M$49,0)),""))))))</f>
        <v/>
      </c>
      <c r="N80" s="590" t="str">
        <f>IFERROR(INDEX('Material Handling'!$C$10:$AH$33,MATCH(N$97,Material_Handling[Data],0),MATCH($Q80,'Material Handling'!$C$40:$AH$40,0)), IFERROR(INDEX('Drop Point'!$B$13:$M$36,MATCH(N$97,'Drop Point'!$B$13:$B$37,0),MATCH($Q80,'Drop Point'!$B$41:$M$41,0)),
IFERROR(INDEX('Control - Grain dscf'!$C$11:$N$27,MATCH(N$97,'Control - Grain dscf'!$B$11:$B$27,0),MATCH($Q80,'Control - Grain dscf'!$C$32:$N$32,0)),
IFERROR(INDEX('Control - Alt'!$C$9:$O$27,MATCH(N$97,'Control - Alt'!$B$9:$B$27,0),MATCH($Q80,'Control - Alt'!$C$32:$O$32,0)),
IFERROR(INDEX(Stockpile!$C$10:$M$26,MATCH(N$97,Stockpile!$B$10:$B$26,0),MATCH($Q80,Stockpile!$C$30:$M$30,0)),
IFERROR(INDEX('Asphalt Silo &amp; Unloading'!$D$10:$M$44,MATCH(N$97,'Asphalt Silo &amp; Unloading'!$B$10:$B$44,0),MATCH($Q80,'Asphalt Silo &amp; Unloading'!$D$49:$M$49,0)),""))))))</f>
        <v/>
      </c>
      <c r="O80" s="591" t="str">
        <f>IFERROR(INDEX('Material Handling'!$C$10:$AH$33,MATCH(O$97,Material_Handling[Data],0),MATCH($Q80,'Material Handling'!$C$40:$AH$40,0)), IFERROR(INDEX('Drop Point'!$B$13:$M$36,MATCH(O$97,'Drop Point'!$B$13:$B$37,0),MATCH($Q80,'Drop Point'!$B$41:$M$41,0)),
IFERROR(INDEX('Control - Grain dscf'!$C$11:$N$27,MATCH(O$97,'Control - Grain dscf'!$B$11:$B$27,0),MATCH($Q80,'Control - Grain dscf'!$C$32:$N$32,0)),
IFERROR(INDEX('Control - Alt'!$C$9:$O$27,MATCH(O$97,'Control - Alt'!$B$9:$B$27,0),MATCH($Q80,'Control - Alt'!$C$32:$O$32,0)),
IFERROR(INDEX(Stockpile!$C$10:$M$26,MATCH(O$97,Stockpile!$B$10:$B$26,0),MATCH($Q80,Stockpile!$C$30:$M$30,0)),
IFERROR(INDEX('Asphalt Silo &amp; Unloading'!$D$10:$M$44,MATCH(O$97,'Asphalt Silo &amp; Unloading'!$B$10:$B$44,0),MATCH($Q80,'Asphalt Silo &amp; Unloading'!$D$49:$M$49,0)),""))))))</f>
        <v/>
      </c>
      <c r="Q80" s="131">
        <f t="shared" si="2"/>
        <v>72</v>
      </c>
    </row>
    <row r="81" spans="1:17" ht="20.100000000000001" customHeight="1">
      <c r="A81" s="293" t="str">
        <f>IFERROR(INDEX('Material Handling'!$C$10:$AH$33,MATCH(A$97,Material_Handling[Data],0),MATCH($Q81,'Material Handling'!$C$40:$AH$40,0)), IFERROR(INDEX('Drop Point'!$B$13:$M$36,MATCH(A$97,'Drop Point'!$B$13:$B$37,0),MATCH($Q81,'Drop Point'!$B$41:$M$41,0)),
IFERROR(INDEX('Control - Grain dscf'!$C$11:$N$27,MATCH(A$97,'Control - Grain dscf'!$B$11:$B$27,0),MATCH($Q81,'Control - Grain dscf'!$C$32:$N$32,0)),
IFERROR(INDEX('Control - Alt'!$C$9:$O$27,MATCH(A$97,'Control - Alt'!$B$9:$B$27,0),MATCH($Q81,'Control - Alt'!$C$32:$O$32,0)),
IFERROR(INDEX(Stockpile!$C$10:$M$26,MATCH(A$97,Stockpile!$B$10:$B$26,0),MATCH($Q81,Stockpile!$C$30:$M$30,0)),
IFERROR(INDEX('Asphalt Silo &amp; Unloading'!$D$10:$M$44,MATCH(A$97,'Asphalt Silo &amp; Unloading'!$B$10:$B$44,0),MATCH($Q81,'Asphalt Silo &amp; Unloading'!$D$49:$M$49,0)),""))))))</f>
        <v/>
      </c>
      <c r="B81" s="135" t="str">
        <f>IFERROR(INDEX('Material Handling'!$C$10:$AH$33,MATCH(B$97,Material_Handling[Data],0),MATCH($Q81,'Material Handling'!$C$40:$AH$40,0)), IFERROR(INDEX('Drop Point'!$B$13:$M$36,MATCH(B$97,'Drop Point'!$B$13:$B$37,0),MATCH($Q81,'Drop Point'!$B$41:$M$41,0)),
IFERROR(INDEX('Control - Grain dscf'!$C$11:$N$27,MATCH(B$97,'Control - Grain dscf'!$B$11:$B$27,0),MATCH($Q81,'Control - Grain dscf'!$C$32:$N$32,0)),
IFERROR(INDEX('Control - Alt'!$C$9:$O$27,MATCH(B$97,'Control - Alt'!$B$9:$B$27,0),MATCH($Q81,'Control - Alt'!$C$32:$O$32,0)),
IFERROR(INDEX(Stockpile!$C$10:$M$26,MATCH(B$97,Stockpile!$B$10:$B$26,0),MATCH($Q81,Stockpile!$C$30:$M$30,0)),
IFERROR(INDEX('Asphalt Silo &amp; Unloading'!$D$10:$M$44,MATCH(B$97,'Asphalt Silo &amp; Unloading'!$B$10:$B$44,0),MATCH($Q81,'Asphalt Silo &amp; Unloading'!$D$49:$M$49,0)),""))))))</f>
        <v/>
      </c>
      <c r="C81" s="135" t="str">
        <f>IFERROR(INDEX('Material Handling'!$C$10:$AH$33,MATCH(C$97,Material_Handling[Data],0),MATCH($Q81,'Material Handling'!$C$40:$AH$40,0)), IFERROR(INDEX('Drop Point'!$B$13:$M$36,MATCH(C$97,'Drop Point'!$B$13:$B$37,0),MATCH($Q81,'Drop Point'!$B$41:$M$41,0)),
IFERROR(INDEX('Control - Grain dscf'!$C$11:$N$27,MATCH(C$97,'Control - Grain dscf'!$B$11:$B$27,0),MATCH($Q81,'Control - Grain dscf'!$C$32:$N$32,0)),
IFERROR(INDEX('Control - Alt'!$C$9:$O$27,MATCH(C$97,'Control - Alt'!$B$9:$B$27,0),MATCH($Q81,'Control - Alt'!$C$32:$O$32,0)),
IFERROR(INDEX(Stockpile!$C$10:$M$26,MATCH(C$97,Stockpile!$B$10:$B$26,0),MATCH($Q81,Stockpile!$C$30:$M$30,0)),
IFERROR(INDEX('Asphalt Silo &amp; Unloading'!$D$10:$M$44,MATCH(C$97,'Asphalt Silo &amp; Unloading'!$B$10:$B$44,0),MATCH($Q81,'Asphalt Silo &amp; Unloading'!$D$49:$M$49,0)),""))))))</f>
        <v/>
      </c>
      <c r="D81" s="135" t="str">
        <f>IFERROR(INDEX('Material Handling'!$C$10:$AH$33,MATCH(D$97,Material_Handling[Data],0),MATCH($Q81,'Material Handling'!$C$40:$AH$40,0)), IFERROR(INDEX('Drop Point'!$B$13:$M$36,MATCH(D$97,'Drop Point'!$B$13:$B$37,0),MATCH($Q81,'Drop Point'!$B$41:$M$41,0)),
IFERROR(INDEX('Control - Grain dscf'!$C$11:$N$27,MATCH(D$97,'Control - Grain dscf'!$B$11:$B$27,0),MATCH($Q81,'Control - Grain dscf'!$C$32:$N$32,0)),
IFERROR(INDEX('Control - Alt'!$C$9:$O$27,MATCH(D$97,'Control - Alt'!$B$9:$B$27,0),MATCH($Q81,'Control - Alt'!$C$32:$O$32,0)),
IFERROR(INDEX(Stockpile!$C$10:$M$26,MATCH(D$97,Stockpile!$B$10:$B$26,0),MATCH($Q81,Stockpile!$C$30:$M$30,0)),
IFERROR(INDEX('Asphalt Silo &amp; Unloading'!$D$10:$M$44,MATCH(D$97,'Asphalt Silo &amp; Unloading'!$B$10:$B$44,0),MATCH($Q81,'Asphalt Silo &amp; Unloading'!$D$49:$M$49,0)),""))))))</f>
        <v/>
      </c>
      <c r="E81" s="620" t="str">
        <f>IFERROR(INDEX('Material Handling'!$C$10:$AH$33,MATCH(E$97,Material_Handling[Data],0),MATCH($Q81,'Material Handling'!$C$40:$AH$40,0)), IFERROR(INDEX('Drop Point'!$B$13:$M$36,MATCH(E$97,'Drop Point'!$B$13:$B$37,0),MATCH($Q81,'Drop Point'!$B$41:$M$41,0)),
IFERROR(INDEX('Control - Grain dscf'!$C$11:$N$27,MATCH(E$97,'Control - Grain dscf'!$B$11:$B$27,0),MATCH($Q81,'Control - Grain dscf'!$C$32:$N$32,0)),
IFERROR(INDEX('Control - Alt'!$C$9:$O$27,MATCH(E$97,'Control - Alt'!$B$9:$B$27,0),MATCH($Q81,'Control - Alt'!$C$32:$O$32,0)),
IFERROR(INDEX(Stockpile!$C$10:$M$26,MATCH(E$97,Stockpile!$B$10:$B$26,0),MATCH($Q81,Stockpile!$C$30:$M$30,0)),
IFERROR(INDEX('Asphalt Silo &amp; Unloading'!$D$10:$M$44,MATCH(E$97,'Asphalt Silo &amp; Unloading'!$B$10:$B$44,0),MATCH($Q81,'Asphalt Silo &amp; Unloading'!$D$49:$M$49,0)),""))))))</f>
        <v/>
      </c>
      <c r="F81" s="590" t="str">
        <f>IFERROR(INDEX('Material Handling'!$C$10:$AH$33,MATCH(F$97,Material_Handling[Data],0),MATCH($Q81,'Material Handling'!$C$40:$AH$40,0)), IFERROR(INDEX('Drop Point'!$B$13:$M$36,MATCH(F$97,'Drop Point'!$B$13:$B$37,0),MATCH($Q81,'Drop Point'!$B$41:$M$41,0)),
IFERROR(INDEX('Control - Grain dscf'!$C$11:$N$27,MATCH(F$97,'Control - Grain dscf'!$B$11:$B$27,0),MATCH($Q81,'Control - Grain dscf'!$C$32:$N$32,0)),
IFERROR(INDEX('Control - Alt'!$C$9:$O$27,MATCH(F$97,'Control - Alt'!$B$9:$B$27,0),MATCH($Q81,'Control - Alt'!$C$32:$O$32,0)),
IFERROR(INDEX(Stockpile!$C$10:$M$26,MATCH(F$97,Stockpile!$B$10:$B$26,0),MATCH($Q81,Stockpile!$C$30:$M$30,0)),
IFERROR(INDEX('Asphalt Silo &amp; Unloading'!$D$10:$M$44,MATCH(F$97,'Asphalt Silo &amp; Unloading'!$B$10:$B$44,0),MATCH($Q81,'Asphalt Silo &amp; Unloading'!$D$49:$M$49,0)),""))))))</f>
        <v/>
      </c>
      <c r="G81" s="590" t="str">
        <f>IFERROR(INDEX('Material Handling'!$C$10:$AH$33,MATCH(G$97,Material_Handling[Data],0),MATCH($Q81,'Material Handling'!$C$40:$AH$40,0)), IFERROR(INDEX('Drop Point'!$B$13:$M$36,MATCH(G$97,'Drop Point'!$B$13:$B$37,0),MATCH($Q81,'Drop Point'!$B$41:$M$41,0)),
IFERROR(INDEX('Control - Grain dscf'!$C$11:$N$27,MATCH(G$97,'Control - Grain dscf'!$B$11:$B$27,0),MATCH($Q81,'Control - Grain dscf'!$C$32:$N$32,0)),
IFERROR(INDEX('Control - Alt'!$C$9:$O$27,MATCH(G$97,'Control - Alt'!$B$9:$B$27,0),MATCH($Q81,'Control - Alt'!$C$32:$O$32,0)),
IFERROR(INDEX(Stockpile!$C$10:$M$26,MATCH(G$97,Stockpile!$B$10:$B$26,0),MATCH($Q81,Stockpile!$C$30:$M$30,0)),
IFERROR(INDEX('Asphalt Silo &amp; Unloading'!$D$10:$M$44,MATCH(G$97,'Asphalt Silo &amp; Unloading'!$B$10:$B$44,0),MATCH($Q81,'Asphalt Silo &amp; Unloading'!$D$49:$M$49,0)),""))))))</f>
        <v/>
      </c>
      <c r="H81" s="590" t="str">
        <f>IFERROR(INDEX('Material Handling'!$C$10:$AH$33,MATCH(H$97,Material_Handling[Data],0),MATCH($Q81,'Material Handling'!$C$40:$AH$40,0)), IFERROR(INDEX('Drop Point'!$B$13:$M$36,MATCH(H$97,'Drop Point'!$B$13:$B$37,0),MATCH($Q81,'Drop Point'!$B$41:$M$41,0)),
IFERROR(INDEX('Control - Grain dscf'!$C$11:$N$27,MATCH(H$97,'Control - Grain dscf'!$B$11:$B$27,0),MATCH($Q81,'Control - Grain dscf'!$C$32:$N$32,0)),
IFERROR(INDEX('Control - Alt'!$C$9:$O$27,MATCH(H$97,'Control - Alt'!$B$9:$B$27,0),MATCH($Q81,'Control - Alt'!$C$32:$O$32,0)),
IFERROR(INDEX(Stockpile!$C$10:$M$26,MATCH(H$97,Stockpile!$B$10:$B$26,0),MATCH($Q81,Stockpile!$C$30:$M$30,0)),
IFERROR(INDEX('Asphalt Silo &amp; Unloading'!$D$10:$M$44,MATCH(H$97,'Asphalt Silo &amp; Unloading'!$B$10:$B$44,0),MATCH($Q81,'Asphalt Silo &amp; Unloading'!$D$49:$M$49,0)),""))))))</f>
        <v/>
      </c>
      <c r="I81" s="590" t="str">
        <f>IFERROR(INDEX('Material Handling'!$C$10:$AH$33,MATCH(I$97,Material_Handling[Data],0),MATCH($Q81,'Material Handling'!$C$40:$AH$40,0)), IFERROR(INDEX('Drop Point'!$B$13:$M$36,MATCH(I$97,'Drop Point'!$B$13:$B$37,0),MATCH($Q81,'Drop Point'!$B$41:$M$41,0)),
IFERROR(INDEX('Control - Grain dscf'!$C$11:$N$27,MATCH(I$97,'Control - Grain dscf'!$B$11:$B$27,0),MATCH($Q81,'Control - Grain dscf'!$C$32:$N$32,0)),
IFERROR(INDEX('Control - Alt'!$C$9:$O$27,MATCH(I$97,'Control - Alt'!$B$9:$B$27,0),MATCH($Q81,'Control - Alt'!$C$32:$O$32,0)),
IFERROR(INDEX(Stockpile!$C$10:$M$26,MATCH(I$97,Stockpile!$B$10:$B$26,0),MATCH($Q81,Stockpile!$C$30:$M$30,0)),
IFERROR(INDEX('Asphalt Silo &amp; Unloading'!$D$10:$M$44,MATCH(I$97,'Asphalt Silo &amp; Unloading'!$B$10:$B$44,0),MATCH($Q81,'Asphalt Silo &amp; Unloading'!$D$49:$M$49,0)),""))))))</f>
        <v/>
      </c>
      <c r="J81" s="590" t="str">
        <f>IFERROR(INDEX('Material Handling'!$C$10:$AH$33,MATCH(J$97,Material_Handling[Data],0),MATCH($Q81,'Material Handling'!$C$40:$AH$40,0)), IFERROR(INDEX('Drop Point'!$B$13:$M$36,MATCH(J$97,'Drop Point'!$B$13:$B$37,0),MATCH($Q81,'Drop Point'!$B$41:$M$41,0)),
IFERROR(INDEX('Control - Grain dscf'!$C$11:$N$27,MATCH(J$97,'Control - Grain dscf'!$B$11:$B$27,0),MATCH($Q81,'Control - Grain dscf'!$C$32:$N$32,0)),
IFERROR(INDEX('Control - Alt'!$C$9:$O$27,MATCH(J$97,'Control - Alt'!$B$9:$B$27,0),MATCH($Q81,'Control - Alt'!$C$32:$O$32,0)),
IFERROR(INDEX(Stockpile!$C$10:$M$26,MATCH(J$97,Stockpile!$B$10:$B$26,0),MATCH($Q81,Stockpile!$C$30:$M$30,0)),
IFERROR(INDEX('Asphalt Silo &amp; Unloading'!$D$10:$M$44,MATCH(J$97,'Asphalt Silo &amp; Unloading'!$B$10:$B$44,0),MATCH($Q81,'Asphalt Silo &amp; Unloading'!$D$49:$M$49,0)),""))))))</f>
        <v/>
      </c>
      <c r="K81" s="590" t="str">
        <f>IFERROR(INDEX('Material Handling'!$C$10:$AH$33,MATCH(K$97,Material_Handling[Data],0),MATCH($Q81,'Material Handling'!$C$40:$AH$40,0)), IFERROR(INDEX('Drop Point'!$B$13:$M$36,MATCH(K$97,'Drop Point'!$B$13:$B$37,0),MATCH($Q81,'Drop Point'!$B$41:$M$41,0)),
IFERROR(INDEX('Control - Grain dscf'!$C$11:$N$27,MATCH(K$97,'Control - Grain dscf'!$B$11:$B$27,0),MATCH($Q81,'Control - Grain dscf'!$C$32:$N$32,0)),
IFERROR(INDEX('Control - Alt'!$C$9:$O$27,MATCH(K$97,'Control - Alt'!$B$9:$B$27,0),MATCH($Q81,'Control - Alt'!$C$32:$O$32,0)),
IFERROR(INDEX(Stockpile!$C$10:$M$26,MATCH(K$97,Stockpile!$B$10:$B$26,0),MATCH($Q81,Stockpile!$C$30:$M$30,0)),
IFERROR(INDEX('Asphalt Silo &amp; Unloading'!$D$10:$M$44,MATCH(K$97,'Asphalt Silo &amp; Unloading'!$B$10:$B$44,0),MATCH($Q81,'Asphalt Silo &amp; Unloading'!$D$49:$M$49,0)),""))))))</f>
        <v/>
      </c>
      <c r="L81" s="590" t="str">
        <f>IFERROR(INDEX('Material Handling'!$C$10:$AH$33,MATCH(L$97,Material_Handling[Data],0),MATCH($Q81,'Material Handling'!$C$40:$AH$40,0)), IFERROR(INDEX('Drop Point'!$B$13:$M$36,MATCH(L$97,'Drop Point'!$B$13:$B$37,0),MATCH($Q81,'Drop Point'!$B$41:$M$41,0)),
IFERROR(INDEX('Control - Grain dscf'!$C$11:$N$27,MATCH(L$97,'Control - Grain dscf'!$B$11:$B$27,0),MATCH($Q81,'Control - Grain dscf'!$C$32:$N$32,0)),
IFERROR(INDEX('Control - Alt'!$C$9:$O$27,MATCH(L$97,'Control - Alt'!$B$9:$B$27,0),MATCH($Q81,'Control - Alt'!$C$32:$O$32,0)),
IFERROR(INDEX(Stockpile!$C$10:$M$26,MATCH(L$97,Stockpile!$B$10:$B$26,0),MATCH($Q81,Stockpile!$C$30:$M$30,0)),
IFERROR(INDEX('Asphalt Silo &amp; Unloading'!$D$10:$M$44,MATCH(L$97,'Asphalt Silo &amp; Unloading'!$B$10:$B$44,0),MATCH($Q81,'Asphalt Silo &amp; Unloading'!$D$49:$M$49,0)),""))))))</f>
        <v/>
      </c>
      <c r="M81" s="590" t="str">
        <f>IFERROR(INDEX('Material Handling'!$C$10:$AH$33,MATCH(M$97,Material_Handling[Data],0),MATCH($Q81,'Material Handling'!$C$40:$AH$40,0)), IFERROR(INDEX('Drop Point'!$B$13:$M$36,MATCH(M$97,'Drop Point'!$B$13:$B$37,0),MATCH($Q81,'Drop Point'!$B$41:$M$41,0)),
IFERROR(INDEX('Control - Grain dscf'!$C$11:$N$27,MATCH(M$97,'Control - Grain dscf'!$B$11:$B$27,0),MATCH($Q81,'Control - Grain dscf'!$C$32:$N$32,0)),
IFERROR(INDEX('Control - Alt'!$C$9:$O$27,MATCH(M$97,'Control - Alt'!$B$9:$B$27,0),MATCH($Q81,'Control - Alt'!$C$32:$O$32,0)),
IFERROR(INDEX(Stockpile!$C$10:$M$26,MATCH(M$97,Stockpile!$B$10:$B$26,0),MATCH($Q81,Stockpile!$C$30:$M$30,0)),
IFERROR(INDEX('Asphalt Silo &amp; Unloading'!$D$10:$M$44,MATCH(M$97,'Asphalt Silo &amp; Unloading'!$B$10:$B$44,0),MATCH($Q81,'Asphalt Silo &amp; Unloading'!$D$49:$M$49,0)),""))))))</f>
        <v/>
      </c>
      <c r="N81" s="590" t="str">
        <f>IFERROR(INDEX('Material Handling'!$C$10:$AH$33,MATCH(N$97,Material_Handling[Data],0),MATCH($Q81,'Material Handling'!$C$40:$AH$40,0)), IFERROR(INDEX('Drop Point'!$B$13:$M$36,MATCH(N$97,'Drop Point'!$B$13:$B$37,0),MATCH($Q81,'Drop Point'!$B$41:$M$41,0)),
IFERROR(INDEX('Control - Grain dscf'!$C$11:$N$27,MATCH(N$97,'Control - Grain dscf'!$B$11:$B$27,0),MATCH($Q81,'Control - Grain dscf'!$C$32:$N$32,0)),
IFERROR(INDEX('Control - Alt'!$C$9:$O$27,MATCH(N$97,'Control - Alt'!$B$9:$B$27,0),MATCH($Q81,'Control - Alt'!$C$32:$O$32,0)),
IFERROR(INDEX(Stockpile!$C$10:$M$26,MATCH(N$97,Stockpile!$B$10:$B$26,0),MATCH($Q81,Stockpile!$C$30:$M$30,0)),
IFERROR(INDEX('Asphalt Silo &amp; Unloading'!$D$10:$M$44,MATCH(N$97,'Asphalt Silo &amp; Unloading'!$B$10:$B$44,0),MATCH($Q81,'Asphalt Silo &amp; Unloading'!$D$49:$M$49,0)),""))))))</f>
        <v/>
      </c>
      <c r="O81" s="591" t="str">
        <f>IFERROR(INDEX('Material Handling'!$C$10:$AH$33,MATCH(O$97,Material_Handling[Data],0),MATCH($Q81,'Material Handling'!$C$40:$AH$40,0)), IFERROR(INDEX('Drop Point'!$B$13:$M$36,MATCH(O$97,'Drop Point'!$B$13:$B$37,0),MATCH($Q81,'Drop Point'!$B$41:$M$41,0)),
IFERROR(INDEX('Control - Grain dscf'!$C$11:$N$27,MATCH(O$97,'Control - Grain dscf'!$B$11:$B$27,0),MATCH($Q81,'Control - Grain dscf'!$C$32:$N$32,0)),
IFERROR(INDEX('Control - Alt'!$C$9:$O$27,MATCH(O$97,'Control - Alt'!$B$9:$B$27,0),MATCH($Q81,'Control - Alt'!$C$32:$O$32,0)),
IFERROR(INDEX(Stockpile!$C$10:$M$26,MATCH(O$97,Stockpile!$B$10:$B$26,0),MATCH($Q81,Stockpile!$C$30:$M$30,0)),
IFERROR(INDEX('Asphalt Silo &amp; Unloading'!$D$10:$M$44,MATCH(O$97,'Asphalt Silo &amp; Unloading'!$B$10:$B$44,0),MATCH($Q81,'Asphalt Silo &amp; Unloading'!$D$49:$M$49,0)),""))))))</f>
        <v/>
      </c>
      <c r="Q81" s="131">
        <f t="shared" si="2"/>
        <v>73</v>
      </c>
    </row>
    <row r="82" spans="1:17" ht="20.100000000000001" customHeight="1">
      <c r="A82" s="293" t="str">
        <f>IFERROR(INDEX('Material Handling'!$C$10:$AH$33,MATCH(A$97,Material_Handling[Data],0),MATCH($Q82,'Material Handling'!$C$40:$AH$40,0)), IFERROR(INDEX('Drop Point'!$B$13:$M$36,MATCH(A$97,'Drop Point'!$B$13:$B$37,0),MATCH($Q82,'Drop Point'!$B$41:$M$41,0)),
IFERROR(INDEX('Control - Grain dscf'!$C$11:$N$27,MATCH(A$97,'Control - Grain dscf'!$B$11:$B$27,0),MATCH($Q82,'Control - Grain dscf'!$C$32:$N$32,0)),
IFERROR(INDEX('Control - Alt'!$C$9:$O$27,MATCH(A$97,'Control - Alt'!$B$9:$B$27,0),MATCH($Q82,'Control - Alt'!$C$32:$O$32,0)),
IFERROR(INDEX(Stockpile!$C$10:$M$26,MATCH(A$97,Stockpile!$B$10:$B$26,0),MATCH($Q82,Stockpile!$C$30:$M$30,0)),
IFERROR(INDEX('Asphalt Silo &amp; Unloading'!$D$10:$M$44,MATCH(A$97,'Asphalt Silo &amp; Unloading'!$B$10:$B$44,0),MATCH($Q82,'Asphalt Silo &amp; Unloading'!$D$49:$M$49,0)),""))))))</f>
        <v/>
      </c>
      <c r="B82" s="135" t="str">
        <f>IFERROR(INDEX('Material Handling'!$C$10:$AH$33,MATCH(B$97,Material_Handling[Data],0),MATCH($Q82,'Material Handling'!$C$40:$AH$40,0)), IFERROR(INDEX('Drop Point'!$B$13:$M$36,MATCH(B$97,'Drop Point'!$B$13:$B$37,0),MATCH($Q82,'Drop Point'!$B$41:$M$41,0)),
IFERROR(INDEX('Control - Grain dscf'!$C$11:$N$27,MATCH(B$97,'Control - Grain dscf'!$B$11:$B$27,0),MATCH($Q82,'Control - Grain dscf'!$C$32:$N$32,0)),
IFERROR(INDEX('Control - Alt'!$C$9:$O$27,MATCH(B$97,'Control - Alt'!$B$9:$B$27,0),MATCH($Q82,'Control - Alt'!$C$32:$O$32,0)),
IFERROR(INDEX(Stockpile!$C$10:$M$26,MATCH(B$97,Stockpile!$B$10:$B$26,0),MATCH($Q82,Stockpile!$C$30:$M$30,0)),
IFERROR(INDEX('Asphalt Silo &amp; Unloading'!$D$10:$M$44,MATCH(B$97,'Asphalt Silo &amp; Unloading'!$B$10:$B$44,0),MATCH($Q82,'Asphalt Silo &amp; Unloading'!$D$49:$M$49,0)),""))))))</f>
        <v/>
      </c>
      <c r="C82" s="135" t="str">
        <f>IFERROR(INDEX('Material Handling'!$C$10:$AH$33,MATCH(C$97,Material_Handling[Data],0),MATCH($Q82,'Material Handling'!$C$40:$AH$40,0)), IFERROR(INDEX('Drop Point'!$B$13:$M$36,MATCH(C$97,'Drop Point'!$B$13:$B$37,0),MATCH($Q82,'Drop Point'!$B$41:$M$41,0)),
IFERROR(INDEX('Control - Grain dscf'!$C$11:$N$27,MATCH(C$97,'Control - Grain dscf'!$B$11:$B$27,0),MATCH($Q82,'Control - Grain dscf'!$C$32:$N$32,0)),
IFERROR(INDEX('Control - Alt'!$C$9:$O$27,MATCH(C$97,'Control - Alt'!$B$9:$B$27,0),MATCH($Q82,'Control - Alt'!$C$32:$O$32,0)),
IFERROR(INDEX(Stockpile!$C$10:$M$26,MATCH(C$97,Stockpile!$B$10:$B$26,0),MATCH($Q82,Stockpile!$C$30:$M$30,0)),
IFERROR(INDEX('Asphalt Silo &amp; Unloading'!$D$10:$M$44,MATCH(C$97,'Asphalt Silo &amp; Unloading'!$B$10:$B$44,0),MATCH($Q82,'Asphalt Silo &amp; Unloading'!$D$49:$M$49,0)),""))))))</f>
        <v/>
      </c>
      <c r="D82" s="135" t="str">
        <f>IFERROR(INDEX('Material Handling'!$C$10:$AH$33,MATCH(D$97,Material_Handling[Data],0),MATCH($Q82,'Material Handling'!$C$40:$AH$40,0)), IFERROR(INDEX('Drop Point'!$B$13:$M$36,MATCH(D$97,'Drop Point'!$B$13:$B$37,0),MATCH($Q82,'Drop Point'!$B$41:$M$41,0)),
IFERROR(INDEX('Control - Grain dscf'!$C$11:$N$27,MATCH(D$97,'Control - Grain dscf'!$B$11:$B$27,0),MATCH($Q82,'Control - Grain dscf'!$C$32:$N$32,0)),
IFERROR(INDEX('Control - Alt'!$C$9:$O$27,MATCH(D$97,'Control - Alt'!$B$9:$B$27,0),MATCH($Q82,'Control - Alt'!$C$32:$O$32,0)),
IFERROR(INDEX(Stockpile!$C$10:$M$26,MATCH(D$97,Stockpile!$B$10:$B$26,0),MATCH($Q82,Stockpile!$C$30:$M$30,0)),
IFERROR(INDEX('Asphalt Silo &amp; Unloading'!$D$10:$M$44,MATCH(D$97,'Asphalt Silo &amp; Unloading'!$B$10:$B$44,0),MATCH($Q82,'Asphalt Silo &amp; Unloading'!$D$49:$M$49,0)),""))))))</f>
        <v/>
      </c>
      <c r="E82" s="620" t="str">
        <f>IFERROR(INDEX('Material Handling'!$C$10:$AH$33,MATCH(E$97,Material_Handling[Data],0),MATCH($Q82,'Material Handling'!$C$40:$AH$40,0)), IFERROR(INDEX('Drop Point'!$B$13:$M$36,MATCH(E$97,'Drop Point'!$B$13:$B$37,0),MATCH($Q82,'Drop Point'!$B$41:$M$41,0)),
IFERROR(INDEX('Control - Grain dscf'!$C$11:$N$27,MATCH(E$97,'Control - Grain dscf'!$B$11:$B$27,0),MATCH($Q82,'Control - Grain dscf'!$C$32:$N$32,0)),
IFERROR(INDEX('Control - Alt'!$C$9:$O$27,MATCH(E$97,'Control - Alt'!$B$9:$B$27,0),MATCH($Q82,'Control - Alt'!$C$32:$O$32,0)),
IFERROR(INDEX(Stockpile!$C$10:$M$26,MATCH(E$97,Stockpile!$B$10:$B$26,0),MATCH($Q82,Stockpile!$C$30:$M$30,0)),
IFERROR(INDEX('Asphalt Silo &amp; Unloading'!$D$10:$M$44,MATCH(E$97,'Asphalt Silo &amp; Unloading'!$B$10:$B$44,0),MATCH($Q82,'Asphalt Silo &amp; Unloading'!$D$49:$M$49,0)),""))))))</f>
        <v/>
      </c>
      <c r="F82" s="590" t="str">
        <f>IFERROR(INDEX('Material Handling'!$C$10:$AH$33,MATCH(F$97,Material_Handling[Data],0),MATCH($Q82,'Material Handling'!$C$40:$AH$40,0)), IFERROR(INDEX('Drop Point'!$B$13:$M$36,MATCH(F$97,'Drop Point'!$B$13:$B$37,0),MATCH($Q82,'Drop Point'!$B$41:$M$41,0)),
IFERROR(INDEX('Control - Grain dscf'!$C$11:$N$27,MATCH(F$97,'Control - Grain dscf'!$B$11:$B$27,0),MATCH($Q82,'Control - Grain dscf'!$C$32:$N$32,0)),
IFERROR(INDEX('Control - Alt'!$C$9:$O$27,MATCH(F$97,'Control - Alt'!$B$9:$B$27,0),MATCH($Q82,'Control - Alt'!$C$32:$O$32,0)),
IFERROR(INDEX(Stockpile!$C$10:$M$26,MATCH(F$97,Stockpile!$B$10:$B$26,0),MATCH($Q82,Stockpile!$C$30:$M$30,0)),
IFERROR(INDEX('Asphalt Silo &amp; Unloading'!$D$10:$M$44,MATCH(F$97,'Asphalt Silo &amp; Unloading'!$B$10:$B$44,0),MATCH($Q82,'Asphalt Silo &amp; Unloading'!$D$49:$M$49,0)),""))))))</f>
        <v/>
      </c>
      <c r="G82" s="590" t="str">
        <f>IFERROR(INDEX('Material Handling'!$C$10:$AH$33,MATCH(G$97,Material_Handling[Data],0),MATCH($Q82,'Material Handling'!$C$40:$AH$40,0)), IFERROR(INDEX('Drop Point'!$B$13:$M$36,MATCH(G$97,'Drop Point'!$B$13:$B$37,0),MATCH($Q82,'Drop Point'!$B$41:$M$41,0)),
IFERROR(INDEX('Control - Grain dscf'!$C$11:$N$27,MATCH(G$97,'Control - Grain dscf'!$B$11:$B$27,0),MATCH($Q82,'Control - Grain dscf'!$C$32:$N$32,0)),
IFERROR(INDEX('Control - Alt'!$C$9:$O$27,MATCH(G$97,'Control - Alt'!$B$9:$B$27,0),MATCH($Q82,'Control - Alt'!$C$32:$O$32,0)),
IFERROR(INDEX(Stockpile!$C$10:$M$26,MATCH(G$97,Stockpile!$B$10:$B$26,0),MATCH($Q82,Stockpile!$C$30:$M$30,0)),
IFERROR(INDEX('Asphalt Silo &amp; Unloading'!$D$10:$M$44,MATCH(G$97,'Asphalt Silo &amp; Unloading'!$B$10:$B$44,0),MATCH($Q82,'Asphalt Silo &amp; Unloading'!$D$49:$M$49,0)),""))))))</f>
        <v/>
      </c>
      <c r="H82" s="590" t="str">
        <f>IFERROR(INDEX('Material Handling'!$C$10:$AH$33,MATCH(H$97,Material_Handling[Data],0),MATCH($Q82,'Material Handling'!$C$40:$AH$40,0)), IFERROR(INDEX('Drop Point'!$B$13:$M$36,MATCH(H$97,'Drop Point'!$B$13:$B$37,0),MATCH($Q82,'Drop Point'!$B$41:$M$41,0)),
IFERROR(INDEX('Control - Grain dscf'!$C$11:$N$27,MATCH(H$97,'Control - Grain dscf'!$B$11:$B$27,0),MATCH($Q82,'Control - Grain dscf'!$C$32:$N$32,0)),
IFERROR(INDEX('Control - Alt'!$C$9:$O$27,MATCH(H$97,'Control - Alt'!$B$9:$B$27,0),MATCH($Q82,'Control - Alt'!$C$32:$O$32,0)),
IFERROR(INDEX(Stockpile!$C$10:$M$26,MATCH(H$97,Stockpile!$B$10:$B$26,0),MATCH($Q82,Stockpile!$C$30:$M$30,0)),
IFERROR(INDEX('Asphalt Silo &amp; Unloading'!$D$10:$M$44,MATCH(H$97,'Asphalt Silo &amp; Unloading'!$B$10:$B$44,0),MATCH($Q82,'Asphalt Silo &amp; Unloading'!$D$49:$M$49,0)),""))))))</f>
        <v/>
      </c>
      <c r="I82" s="590" t="str">
        <f>IFERROR(INDEX('Material Handling'!$C$10:$AH$33,MATCH(I$97,Material_Handling[Data],0),MATCH($Q82,'Material Handling'!$C$40:$AH$40,0)), IFERROR(INDEX('Drop Point'!$B$13:$M$36,MATCH(I$97,'Drop Point'!$B$13:$B$37,0),MATCH($Q82,'Drop Point'!$B$41:$M$41,0)),
IFERROR(INDEX('Control - Grain dscf'!$C$11:$N$27,MATCH(I$97,'Control - Grain dscf'!$B$11:$B$27,0),MATCH($Q82,'Control - Grain dscf'!$C$32:$N$32,0)),
IFERROR(INDEX('Control - Alt'!$C$9:$O$27,MATCH(I$97,'Control - Alt'!$B$9:$B$27,0),MATCH($Q82,'Control - Alt'!$C$32:$O$32,0)),
IFERROR(INDEX(Stockpile!$C$10:$M$26,MATCH(I$97,Stockpile!$B$10:$B$26,0),MATCH($Q82,Stockpile!$C$30:$M$30,0)),
IFERROR(INDEX('Asphalt Silo &amp; Unloading'!$D$10:$M$44,MATCH(I$97,'Asphalt Silo &amp; Unloading'!$B$10:$B$44,0),MATCH($Q82,'Asphalt Silo &amp; Unloading'!$D$49:$M$49,0)),""))))))</f>
        <v/>
      </c>
      <c r="J82" s="590" t="str">
        <f>IFERROR(INDEX('Material Handling'!$C$10:$AH$33,MATCH(J$97,Material_Handling[Data],0),MATCH($Q82,'Material Handling'!$C$40:$AH$40,0)), IFERROR(INDEX('Drop Point'!$B$13:$M$36,MATCH(J$97,'Drop Point'!$B$13:$B$37,0),MATCH($Q82,'Drop Point'!$B$41:$M$41,0)),
IFERROR(INDEX('Control - Grain dscf'!$C$11:$N$27,MATCH(J$97,'Control - Grain dscf'!$B$11:$B$27,0),MATCH($Q82,'Control - Grain dscf'!$C$32:$N$32,0)),
IFERROR(INDEX('Control - Alt'!$C$9:$O$27,MATCH(J$97,'Control - Alt'!$B$9:$B$27,0),MATCH($Q82,'Control - Alt'!$C$32:$O$32,0)),
IFERROR(INDEX(Stockpile!$C$10:$M$26,MATCH(J$97,Stockpile!$B$10:$B$26,0),MATCH($Q82,Stockpile!$C$30:$M$30,0)),
IFERROR(INDEX('Asphalt Silo &amp; Unloading'!$D$10:$M$44,MATCH(J$97,'Asphalt Silo &amp; Unloading'!$B$10:$B$44,0),MATCH($Q82,'Asphalt Silo &amp; Unloading'!$D$49:$M$49,0)),""))))))</f>
        <v/>
      </c>
      <c r="K82" s="590" t="str">
        <f>IFERROR(INDEX('Material Handling'!$C$10:$AH$33,MATCH(K$97,Material_Handling[Data],0),MATCH($Q82,'Material Handling'!$C$40:$AH$40,0)), IFERROR(INDEX('Drop Point'!$B$13:$M$36,MATCH(K$97,'Drop Point'!$B$13:$B$37,0),MATCH($Q82,'Drop Point'!$B$41:$M$41,0)),
IFERROR(INDEX('Control - Grain dscf'!$C$11:$N$27,MATCH(K$97,'Control - Grain dscf'!$B$11:$B$27,0),MATCH($Q82,'Control - Grain dscf'!$C$32:$N$32,0)),
IFERROR(INDEX('Control - Alt'!$C$9:$O$27,MATCH(K$97,'Control - Alt'!$B$9:$B$27,0),MATCH($Q82,'Control - Alt'!$C$32:$O$32,0)),
IFERROR(INDEX(Stockpile!$C$10:$M$26,MATCH(K$97,Stockpile!$B$10:$B$26,0),MATCH($Q82,Stockpile!$C$30:$M$30,0)),
IFERROR(INDEX('Asphalt Silo &amp; Unloading'!$D$10:$M$44,MATCH(K$97,'Asphalt Silo &amp; Unloading'!$B$10:$B$44,0),MATCH($Q82,'Asphalt Silo &amp; Unloading'!$D$49:$M$49,0)),""))))))</f>
        <v/>
      </c>
      <c r="L82" s="590" t="str">
        <f>IFERROR(INDEX('Material Handling'!$C$10:$AH$33,MATCH(L$97,Material_Handling[Data],0),MATCH($Q82,'Material Handling'!$C$40:$AH$40,0)), IFERROR(INDEX('Drop Point'!$B$13:$M$36,MATCH(L$97,'Drop Point'!$B$13:$B$37,0),MATCH($Q82,'Drop Point'!$B$41:$M$41,0)),
IFERROR(INDEX('Control - Grain dscf'!$C$11:$N$27,MATCH(L$97,'Control - Grain dscf'!$B$11:$B$27,0),MATCH($Q82,'Control - Grain dscf'!$C$32:$N$32,0)),
IFERROR(INDEX('Control - Alt'!$C$9:$O$27,MATCH(L$97,'Control - Alt'!$B$9:$B$27,0),MATCH($Q82,'Control - Alt'!$C$32:$O$32,0)),
IFERROR(INDEX(Stockpile!$C$10:$M$26,MATCH(L$97,Stockpile!$B$10:$B$26,0),MATCH($Q82,Stockpile!$C$30:$M$30,0)),
IFERROR(INDEX('Asphalt Silo &amp; Unloading'!$D$10:$M$44,MATCH(L$97,'Asphalt Silo &amp; Unloading'!$B$10:$B$44,0),MATCH($Q82,'Asphalt Silo &amp; Unloading'!$D$49:$M$49,0)),""))))))</f>
        <v/>
      </c>
      <c r="M82" s="590" t="str">
        <f>IFERROR(INDEX('Material Handling'!$C$10:$AH$33,MATCH(M$97,Material_Handling[Data],0),MATCH($Q82,'Material Handling'!$C$40:$AH$40,0)), IFERROR(INDEX('Drop Point'!$B$13:$M$36,MATCH(M$97,'Drop Point'!$B$13:$B$37,0),MATCH($Q82,'Drop Point'!$B$41:$M$41,0)),
IFERROR(INDEX('Control - Grain dscf'!$C$11:$N$27,MATCH(M$97,'Control - Grain dscf'!$B$11:$B$27,0),MATCH($Q82,'Control - Grain dscf'!$C$32:$N$32,0)),
IFERROR(INDEX('Control - Alt'!$C$9:$O$27,MATCH(M$97,'Control - Alt'!$B$9:$B$27,0),MATCH($Q82,'Control - Alt'!$C$32:$O$32,0)),
IFERROR(INDEX(Stockpile!$C$10:$M$26,MATCH(M$97,Stockpile!$B$10:$B$26,0),MATCH($Q82,Stockpile!$C$30:$M$30,0)),
IFERROR(INDEX('Asphalt Silo &amp; Unloading'!$D$10:$M$44,MATCH(M$97,'Asphalt Silo &amp; Unloading'!$B$10:$B$44,0),MATCH($Q82,'Asphalt Silo &amp; Unloading'!$D$49:$M$49,0)),""))))))</f>
        <v/>
      </c>
      <c r="N82" s="590" t="str">
        <f>IFERROR(INDEX('Material Handling'!$C$10:$AH$33,MATCH(N$97,Material_Handling[Data],0),MATCH($Q82,'Material Handling'!$C$40:$AH$40,0)), IFERROR(INDEX('Drop Point'!$B$13:$M$36,MATCH(N$97,'Drop Point'!$B$13:$B$37,0),MATCH($Q82,'Drop Point'!$B$41:$M$41,0)),
IFERROR(INDEX('Control - Grain dscf'!$C$11:$N$27,MATCH(N$97,'Control - Grain dscf'!$B$11:$B$27,0),MATCH($Q82,'Control - Grain dscf'!$C$32:$N$32,0)),
IFERROR(INDEX('Control - Alt'!$C$9:$O$27,MATCH(N$97,'Control - Alt'!$B$9:$B$27,0),MATCH($Q82,'Control - Alt'!$C$32:$O$32,0)),
IFERROR(INDEX(Stockpile!$C$10:$M$26,MATCH(N$97,Stockpile!$B$10:$B$26,0),MATCH($Q82,Stockpile!$C$30:$M$30,0)),
IFERROR(INDEX('Asphalt Silo &amp; Unloading'!$D$10:$M$44,MATCH(N$97,'Asphalt Silo &amp; Unloading'!$B$10:$B$44,0),MATCH($Q82,'Asphalt Silo &amp; Unloading'!$D$49:$M$49,0)),""))))))</f>
        <v/>
      </c>
      <c r="O82" s="591" t="str">
        <f>IFERROR(INDEX('Material Handling'!$C$10:$AH$33,MATCH(O$97,Material_Handling[Data],0),MATCH($Q82,'Material Handling'!$C$40:$AH$40,0)), IFERROR(INDEX('Drop Point'!$B$13:$M$36,MATCH(O$97,'Drop Point'!$B$13:$B$37,0),MATCH($Q82,'Drop Point'!$B$41:$M$41,0)),
IFERROR(INDEX('Control - Grain dscf'!$C$11:$N$27,MATCH(O$97,'Control - Grain dscf'!$B$11:$B$27,0),MATCH($Q82,'Control - Grain dscf'!$C$32:$N$32,0)),
IFERROR(INDEX('Control - Alt'!$C$9:$O$27,MATCH(O$97,'Control - Alt'!$B$9:$B$27,0),MATCH($Q82,'Control - Alt'!$C$32:$O$32,0)),
IFERROR(INDEX(Stockpile!$C$10:$M$26,MATCH(O$97,Stockpile!$B$10:$B$26,0),MATCH($Q82,Stockpile!$C$30:$M$30,0)),
IFERROR(INDEX('Asphalt Silo &amp; Unloading'!$D$10:$M$44,MATCH(O$97,'Asphalt Silo &amp; Unloading'!$B$10:$B$44,0),MATCH($Q82,'Asphalt Silo &amp; Unloading'!$D$49:$M$49,0)),""))))))</f>
        <v/>
      </c>
      <c r="Q82" s="131">
        <f t="shared" si="2"/>
        <v>74</v>
      </c>
    </row>
    <row r="83" spans="1:17" ht="20.100000000000001" customHeight="1">
      <c r="A83" s="293" t="str">
        <f>IFERROR(INDEX('Material Handling'!$C$10:$AH$33,MATCH(A$97,Material_Handling[Data],0),MATCH($Q83,'Material Handling'!$C$40:$AH$40,0)), IFERROR(INDEX('Drop Point'!$B$13:$M$36,MATCH(A$97,'Drop Point'!$B$13:$B$37,0),MATCH($Q83,'Drop Point'!$B$41:$M$41,0)),
IFERROR(INDEX('Control - Grain dscf'!$C$11:$N$27,MATCH(A$97,'Control - Grain dscf'!$B$11:$B$27,0),MATCH($Q83,'Control - Grain dscf'!$C$32:$N$32,0)),
IFERROR(INDEX('Control - Alt'!$C$9:$O$27,MATCH(A$97,'Control - Alt'!$B$9:$B$27,0),MATCH($Q83,'Control - Alt'!$C$32:$O$32,0)),
IFERROR(INDEX(Stockpile!$C$10:$M$26,MATCH(A$97,Stockpile!$B$10:$B$26,0),MATCH($Q83,Stockpile!$C$30:$M$30,0)),
IFERROR(INDEX('Asphalt Silo &amp; Unloading'!$D$10:$M$44,MATCH(A$97,'Asphalt Silo &amp; Unloading'!$B$10:$B$44,0),MATCH($Q83,'Asphalt Silo &amp; Unloading'!$D$49:$M$49,0)),""))))))</f>
        <v/>
      </c>
      <c r="B83" s="135" t="str">
        <f>IFERROR(INDEX('Material Handling'!$C$10:$AH$33,MATCH(B$97,Material_Handling[Data],0),MATCH($Q83,'Material Handling'!$C$40:$AH$40,0)), IFERROR(INDEX('Drop Point'!$B$13:$M$36,MATCH(B$97,'Drop Point'!$B$13:$B$37,0),MATCH($Q83,'Drop Point'!$B$41:$M$41,0)),
IFERROR(INDEX('Control - Grain dscf'!$C$11:$N$27,MATCH(B$97,'Control - Grain dscf'!$B$11:$B$27,0),MATCH($Q83,'Control - Grain dscf'!$C$32:$N$32,0)),
IFERROR(INDEX('Control - Alt'!$C$9:$O$27,MATCH(B$97,'Control - Alt'!$B$9:$B$27,0),MATCH($Q83,'Control - Alt'!$C$32:$O$32,0)),
IFERROR(INDEX(Stockpile!$C$10:$M$26,MATCH(B$97,Stockpile!$B$10:$B$26,0),MATCH($Q83,Stockpile!$C$30:$M$30,0)),
IFERROR(INDEX('Asphalt Silo &amp; Unloading'!$D$10:$M$44,MATCH(B$97,'Asphalt Silo &amp; Unloading'!$B$10:$B$44,0),MATCH($Q83,'Asphalt Silo &amp; Unloading'!$D$49:$M$49,0)),""))))))</f>
        <v/>
      </c>
      <c r="C83" s="135" t="str">
        <f>IFERROR(INDEX('Material Handling'!$C$10:$AH$33,MATCH(C$97,Material_Handling[Data],0),MATCH($Q83,'Material Handling'!$C$40:$AH$40,0)), IFERROR(INDEX('Drop Point'!$B$13:$M$36,MATCH(C$97,'Drop Point'!$B$13:$B$37,0),MATCH($Q83,'Drop Point'!$B$41:$M$41,0)),
IFERROR(INDEX('Control - Grain dscf'!$C$11:$N$27,MATCH(C$97,'Control - Grain dscf'!$B$11:$B$27,0),MATCH($Q83,'Control - Grain dscf'!$C$32:$N$32,0)),
IFERROR(INDEX('Control - Alt'!$C$9:$O$27,MATCH(C$97,'Control - Alt'!$B$9:$B$27,0),MATCH($Q83,'Control - Alt'!$C$32:$O$32,0)),
IFERROR(INDEX(Stockpile!$C$10:$M$26,MATCH(C$97,Stockpile!$B$10:$B$26,0),MATCH($Q83,Stockpile!$C$30:$M$30,0)),
IFERROR(INDEX('Asphalt Silo &amp; Unloading'!$D$10:$M$44,MATCH(C$97,'Asphalt Silo &amp; Unloading'!$B$10:$B$44,0),MATCH($Q83,'Asphalt Silo &amp; Unloading'!$D$49:$M$49,0)),""))))))</f>
        <v/>
      </c>
      <c r="D83" s="135" t="str">
        <f>IFERROR(INDEX('Material Handling'!$C$10:$AH$33,MATCH(D$97,Material_Handling[Data],0),MATCH($Q83,'Material Handling'!$C$40:$AH$40,0)), IFERROR(INDEX('Drop Point'!$B$13:$M$36,MATCH(D$97,'Drop Point'!$B$13:$B$37,0),MATCH($Q83,'Drop Point'!$B$41:$M$41,0)),
IFERROR(INDEX('Control - Grain dscf'!$C$11:$N$27,MATCH(D$97,'Control - Grain dscf'!$B$11:$B$27,0),MATCH($Q83,'Control - Grain dscf'!$C$32:$N$32,0)),
IFERROR(INDEX('Control - Alt'!$C$9:$O$27,MATCH(D$97,'Control - Alt'!$B$9:$B$27,0),MATCH($Q83,'Control - Alt'!$C$32:$O$32,0)),
IFERROR(INDEX(Stockpile!$C$10:$M$26,MATCH(D$97,Stockpile!$B$10:$B$26,0),MATCH($Q83,Stockpile!$C$30:$M$30,0)),
IFERROR(INDEX('Asphalt Silo &amp; Unloading'!$D$10:$M$44,MATCH(D$97,'Asphalt Silo &amp; Unloading'!$B$10:$B$44,0),MATCH($Q83,'Asphalt Silo &amp; Unloading'!$D$49:$M$49,0)),""))))))</f>
        <v/>
      </c>
      <c r="E83" s="620" t="str">
        <f>IFERROR(INDEX('Material Handling'!$C$10:$AH$33,MATCH(E$97,Material_Handling[Data],0),MATCH($Q83,'Material Handling'!$C$40:$AH$40,0)), IFERROR(INDEX('Drop Point'!$B$13:$M$36,MATCH(E$97,'Drop Point'!$B$13:$B$37,0),MATCH($Q83,'Drop Point'!$B$41:$M$41,0)),
IFERROR(INDEX('Control - Grain dscf'!$C$11:$N$27,MATCH(E$97,'Control - Grain dscf'!$B$11:$B$27,0),MATCH($Q83,'Control - Grain dscf'!$C$32:$N$32,0)),
IFERROR(INDEX('Control - Alt'!$C$9:$O$27,MATCH(E$97,'Control - Alt'!$B$9:$B$27,0),MATCH($Q83,'Control - Alt'!$C$32:$O$32,0)),
IFERROR(INDEX(Stockpile!$C$10:$M$26,MATCH(E$97,Stockpile!$B$10:$B$26,0),MATCH($Q83,Stockpile!$C$30:$M$30,0)),
IFERROR(INDEX('Asphalt Silo &amp; Unloading'!$D$10:$M$44,MATCH(E$97,'Asphalt Silo &amp; Unloading'!$B$10:$B$44,0),MATCH($Q83,'Asphalt Silo &amp; Unloading'!$D$49:$M$49,0)),""))))))</f>
        <v/>
      </c>
      <c r="F83" s="590" t="str">
        <f>IFERROR(INDEX('Material Handling'!$C$10:$AH$33,MATCH(F$97,Material_Handling[Data],0),MATCH($Q83,'Material Handling'!$C$40:$AH$40,0)), IFERROR(INDEX('Drop Point'!$B$13:$M$36,MATCH(F$97,'Drop Point'!$B$13:$B$37,0),MATCH($Q83,'Drop Point'!$B$41:$M$41,0)),
IFERROR(INDEX('Control - Grain dscf'!$C$11:$N$27,MATCH(F$97,'Control - Grain dscf'!$B$11:$B$27,0),MATCH($Q83,'Control - Grain dscf'!$C$32:$N$32,0)),
IFERROR(INDEX('Control - Alt'!$C$9:$O$27,MATCH(F$97,'Control - Alt'!$B$9:$B$27,0),MATCH($Q83,'Control - Alt'!$C$32:$O$32,0)),
IFERROR(INDEX(Stockpile!$C$10:$M$26,MATCH(F$97,Stockpile!$B$10:$B$26,0),MATCH($Q83,Stockpile!$C$30:$M$30,0)),
IFERROR(INDEX('Asphalt Silo &amp; Unloading'!$D$10:$M$44,MATCH(F$97,'Asphalt Silo &amp; Unloading'!$B$10:$B$44,0),MATCH($Q83,'Asphalt Silo &amp; Unloading'!$D$49:$M$49,0)),""))))))</f>
        <v/>
      </c>
      <c r="G83" s="590" t="str">
        <f>IFERROR(INDEX('Material Handling'!$C$10:$AH$33,MATCH(G$97,Material_Handling[Data],0),MATCH($Q83,'Material Handling'!$C$40:$AH$40,0)), IFERROR(INDEX('Drop Point'!$B$13:$M$36,MATCH(G$97,'Drop Point'!$B$13:$B$37,0),MATCH($Q83,'Drop Point'!$B$41:$M$41,0)),
IFERROR(INDEX('Control - Grain dscf'!$C$11:$N$27,MATCH(G$97,'Control - Grain dscf'!$B$11:$B$27,0),MATCH($Q83,'Control - Grain dscf'!$C$32:$N$32,0)),
IFERROR(INDEX('Control - Alt'!$C$9:$O$27,MATCH(G$97,'Control - Alt'!$B$9:$B$27,0),MATCH($Q83,'Control - Alt'!$C$32:$O$32,0)),
IFERROR(INDEX(Stockpile!$C$10:$M$26,MATCH(G$97,Stockpile!$B$10:$B$26,0),MATCH($Q83,Stockpile!$C$30:$M$30,0)),
IFERROR(INDEX('Asphalt Silo &amp; Unloading'!$D$10:$M$44,MATCH(G$97,'Asphalt Silo &amp; Unloading'!$B$10:$B$44,0),MATCH($Q83,'Asphalt Silo &amp; Unloading'!$D$49:$M$49,0)),""))))))</f>
        <v/>
      </c>
      <c r="H83" s="590" t="str">
        <f>IFERROR(INDEX('Material Handling'!$C$10:$AH$33,MATCH(H$97,Material_Handling[Data],0),MATCH($Q83,'Material Handling'!$C$40:$AH$40,0)), IFERROR(INDEX('Drop Point'!$B$13:$M$36,MATCH(H$97,'Drop Point'!$B$13:$B$37,0),MATCH($Q83,'Drop Point'!$B$41:$M$41,0)),
IFERROR(INDEX('Control - Grain dscf'!$C$11:$N$27,MATCH(H$97,'Control - Grain dscf'!$B$11:$B$27,0),MATCH($Q83,'Control - Grain dscf'!$C$32:$N$32,0)),
IFERROR(INDEX('Control - Alt'!$C$9:$O$27,MATCH(H$97,'Control - Alt'!$B$9:$B$27,0),MATCH($Q83,'Control - Alt'!$C$32:$O$32,0)),
IFERROR(INDEX(Stockpile!$C$10:$M$26,MATCH(H$97,Stockpile!$B$10:$B$26,0),MATCH($Q83,Stockpile!$C$30:$M$30,0)),
IFERROR(INDEX('Asphalt Silo &amp; Unloading'!$D$10:$M$44,MATCH(H$97,'Asphalt Silo &amp; Unloading'!$B$10:$B$44,0),MATCH($Q83,'Asphalt Silo &amp; Unloading'!$D$49:$M$49,0)),""))))))</f>
        <v/>
      </c>
      <c r="I83" s="590" t="str">
        <f>IFERROR(INDEX('Material Handling'!$C$10:$AH$33,MATCH(I$97,Material_Handling[Data],0),MATCH($Q83,'Material Handling'!$C$40:$AH$40,0)), IFERROR(INDEX('Drop Point'!$B$13:$M$36,MATCH(I$97,'Drop Point'!$B$13:$B$37,0),MATCH($Q83,'Drop Point'!$B$41:$M$41,0)),
IFERROR(INDEX('Control - Grain dscf'!$C$11:$N$27,MATCH(I$97,'Control - Grain dscf'!$B$11:$B$27,0),MATCH($Q83,'Control - Grain dscf'!$C$32:$N$32,0)),
IFERROR(INDEX('Control - Alt'!$C$9:$O$27,MATCH(I$97,'Control - Alt'!$B$9:$B$27,0),MATCH($Q83,'Control - Alt'!$C$32:$O$32,0)),
IFERROR(INDEX(Stockpile!$C$10:$M$26,MATCH(I$97,Stockpile!$B$10:$B$26,0),MATCH($Q83,Stockpile!$C$30:$M$30,0)),
IFERROR(INDEX('Asphalt Silo &amp; Unloading'!$D$10:$M$44,MATCH(I$97,'Asphalt Silo &amp; Unloading'!$B$10:$B$44,0),MATCH($Q83,'Asphalt Silo &amp; Unloading'!$D$49:$M$49,0)),""))))))</f>
        <v/>
      </c>
      <c r="J83" s="590" t="str">
        <f>IFERROR(INDEX('Material Handling'!$C$10:$AH$33,MATCH(J$97,Material_Handling[Data],0),MATCH($Q83,'Material Handling'!$C$40:$AH$40,0)), IFERROR(INDEX('Drop Point'!$B$13:$M$36,MATCH(J$97,'Drop Point'!$B$13:$B$37,0),MATCH($Q83,'Drop Point'!$B$41:$M$41,0)),
IFERROR(INDEX('Control - Grain dscf'!$C$11:$N$27,MATCH(J$97,'Control - Grain dscf'!$B$11:$B$27,0),MATCH($Q83,'Control - Grain dscf'!$C$32:$N$32,0)),
IFERROR(INDEX('Control - Alt'!$C$9:$O$27,MATCH(J$97,'Control - Alt'!$B$9:$B$27,0),MATCH($Q83,'Control - Alt'!$C$32:$O$32,0)),
IFERROR(INDEX(Stockpile!$C$10:$M$26,MATCH(J$97,Stockpile!$B$10:$B$26,0),MATCH($Q83,Stockpile!$C$30:$M$30,0)),
IFERROR(INDEX('Asphalt Silo &amp; Unloading'!$D$10:$M$44,MATCH(J$97,'Asphalt Silo &amp; Unloading'!$B$10:$B$44,0),MATCH($Q83,'Asphalt Silo &amp; Unloading'!$D$49:$M$49,0)),""))))))</f>
        <v/>
      </c>
      <c r="K83" s="590" t="str">
        <f>IFERROR(INDEX('Material Handling'!$C$10:$AH$33,MATCH(K$97,Material_Handling[Data],0),MATCH($Q83,'Material Handling'!$C$40:$AH$40,0)), IFERROR(INDEX('Drop Point'!$B$13:$M$36,MATCH(K$97,'Drop Point'!$B$13:$B$37,0),MATCH($Q83,'Drop Point'!$B$41:$M$41,0)),
IFERROR(INDEX('Control - Grain dscf'!$C$11:$N$27,MATCH(K$97,'Control - Grain dscf'!$B$11:$B$27,0),MATCH($Q83,'Control - Grain dscf'!$C$32:$N$32,0)),
IFERROR(INDEX('Control - Alt'!$C$9:$O$27,MATCH(K$97,'Control - Alt'!$B$9:$B$27,0),MATCH($Q83,'Control - Alt'!$C$32:$O$32,0)),
IFERROR(INDEX(Stockpile!$C$10:$M$26,MATCH(K$97,Stockpile!$B$10:$B$26,0),MATCH($Q83,Stockpile!$C$30:$M$30,0)),
IFERROR(INDEX('Asphalt Silo &amp; Unloading'!$D$10:$M$44,MATCH(K$97,'Asphalt Silo &amp; Unloading'!$B$10:$B$44,0),MATCH($Q83,'Asphalt Silo &amp; Unloading'!$D$49:$M$49,0)),""))))))</f>
        <v/>
      </c>
      <c r="L83" s="590" t="str">
        <f>IFERROR(INDEX('Material Handling'!$C$10:$AH$33,MATCH(L$97,Material_Handling[Data],0),MATCH($Q83,'Material Handling'!$C$40:$AH$40,0)), IFERROR(INDEX('Drop Point'!$B$13:$M$36,MATCH(L$97,'Drop Point'!$B$13:$B$37,0),MATCH($Q83,'Drop Point'!$B$41:$M$41,0)),
IFERROR(INDEX('Control - Grain dscf'!$C$11:$N$27,MATCH(L$97,'Control - Grain dscf'!$B$11:$B$27,0),MATCH($Q83,'Control - Grain dscf'!$C$32:$N$32,0)),
IFERROR(INDEX('Control - Alt'!$C$9:$O$27,MATCH(L$97,'Control - Alt'!$B$9:$B$27,0),MATCH($Q83,'Control - Alt'!$C$32:$O$32,0)),
IFERROR(INDEX(Stockpile!$C$10:$M$26,MATCH(L$97,Stockpile!$B$10:$B$26,0),MATCH($Q83,Stockpile!$C$30:$M$30,0)),
IFERROR(INDEX('Asphalt Silo &amp; Unloading'!$D$10:$M$44,MATCH(L$97,'Asphalt Silo &amp; Unloading'!$B$10:$B$44,0),MATCH($Q83,'Asphalt Silo &amp; Unloading'!$D$49:$M$49,0)),""))))))</f>
        <v/>
      </c>
      <c r="M83" s="590" t="str">
        <f>IFERROR(INDEX('Material Handling'!$C$10:$AH$33,MATCH(M$97,Material_Handling[Data],0),MATCH($Q83,'Material Handling'!$C$40:$AH$40,0)), IFERROR(INDEX('Drop Point'!$B$13:$M$36,MATCH(M$97,'Drop Point'!$B$13:$B$37,0),MATCH($Q83,'Drop Point'!$B$41:$M$41,0)),
IFERROR(INDEX('Control - Grain dscf'!$C$11:$N$27,MATCH(M$97,'Control - Grain dscf'!$B$11:$B$27,0),MATCH($Q83,'Control - Grain dscf'!$C$32:$N$32,0)),
IFERROR(INDEX('Control - Alt'!$C$9:$O$27,MATCH(M$97,'Control - Alt'!$B$9:$B$27,0),MATCH($Q83,'Control - Alt'!$C$32:$O$32,0)),
IFERROR(INDEX(Stockpile!$C$10:$M$26,MATCH(M$97,Stockpile!$B$10:$B$26,0),MATCH($Q83,Stockpile!$C$30:$M$30,0)),
IFERROR(INDEX('Asphalt Silo &amp; Unloading'!$D$10:$M$44,MATCH(M$97,'Asphalt Silo &amp; Unloading'!$B$10:$B$44,0),MATCH($Q83,'Asphalt Silo &amp; Unloading'!$D$49:$M$49,0)),""))))))</f>
        <v/>
      </c>
      <c r="N83" s="590" t="str">
        <f>IFERROR(INDEX('Material Handling'!$C$10:$AH$33,MATCH(N$97,Material_Handling[Data],0),MATCH($Q83,'Material Handling'!$C$40:$AH$40,0)), IFERROR(INDEX('Drop Point'!$B$13:$M$36,MATCH(N$97,'Drop Point'!$B$13:$B$37,0),MATCH($Q83,'Drop Point'!$B$41:$M$41,0)),
IFERROR(INDEX('Control - Grain dscf'!$C$11:$N$27,MATCH(N$97,'Control - Grain dscf'!$B$11:$B$27,0),MATCH($Q83,'Control - Grain dscf'!$C$32:$N$32,0)),
IFERROR(INDEX('Control - Alt'!$C$9:$O$27,MATCH(N$97,'Control - Alt'!$B$9:$B$27,0),MATCH($Q83,'Control - Alt'!$C$32:$O$32,0)),
IFERROR(INDEX(Stockpile!$C$10:$M$26,MATCH(N$97,Stockpile!$B$10:$B$26,0),MATCH($Q83,Stockpile!$C$30:$M$30,0)),
IFERROR(INDEX('Asphalt Silo &amp; Unloading'!$D$10:$M$44,MATCH(N$97,'Asphalt Silo &amp; Unloading'!$B$10:$B$44,0),MATCH($Q83,'Asphalt Silo &amp; Unloading'!$D$49:$M$49,0)),""))))))</f>
        <v/>
      </c>
      <c r="O83" s="591" t="str">
        <f>IFERROR(INDEX('Material Handling'!$C$10:$AH$33,MATCH(O$97,Material_Handling[Data],0),MATCH($Q83,'Material Handling'!$C$40:$AH$40,0)), IFERROR(INDEX('Drop Point'!$B$13:$M$36,MATCH(O$97,'Drop Point'!$B$13:$B$37,0),MATCH($Q83,'Drop Point'!$B$41:$M$41,0)),
IFERROR(INDEX('Control - Grain dscf'!$C$11:$N$27,MATCH(O$97,'Control - Grain dscf'!$B$11:$B$27,0),MATCH($Q83,'Control - Grain dscf'!$C$32:$N$32,0)),
IFERROR(INDEX('Control - Alt'!$C$9:$O$27,MATCH(O$97,'Control - Alt'!$B$9:$B$27,0),MATCH($Q83,'Control - Alt'!$C$32:$O$32,0)),
IFERROR(INDEX(Stockpile!$C$10:$M$26,MATCH(O$97,Stockpile!$B$10:$B$26,0),MATCH($Q83,Stockpile!$C$30:$M$30,0)),
IFERROR(INDEX('Asphalt Silo &amp; Unloading'!$D$10:$M$44,MATCH(O$97,'Asphalt Silo &amp; Unloading'!$B$10:$B$44,0),MATCH($Q83,'Asphalt Silo &amp; Unloading'!$D$49:$M$49,0)),""))))))</f>
        <v/>
      </c>
      <c r="Q83" s="131">
        <f t="shared" si="2"/>
        <v>75</v>
      </c>
    </row>
    <row r="84" spans="1:17" ht="20.100000000000001" customHeight="1">
      <c r="A84" s="293" t="str">
        <f>IFERROR(INDEX('Material Handling'!$C$10:$AH$33,MATCH(A$97,Material_Handling[Data],0),MATCH($Q84,'Material Handling'!$C$40:$AH$40,0)), IFERROR(INDEX('Drop Point'!$B$13:$M$36,MATCH(A$97,'Drop Point'!$B$13:$B$37,0),MATCH($Q84,'Drop Point'!$B$41:$M$41,0)),
IFERROR(INDEX('Control - Grain dscf'!$C$11:$N$27,MATCH(A$97,'Control - Grain dscf'!$B$11:$B$27,0),MATCH($Q84,'Control - Grain dscf'!$C$32:$N$32,0)),
IFERROR(INDEX('Control - Alt'!$C$9:$O$27,MATCH(A$97,'Control - Alt'!$B$9:$B$27,0),MATCH($Q84,'Control - Alt'!$C$32:$O$32,0)),
IFERROR(INDEX(Stockpile!$C$10:$M$26,MATCH(A$97,Stockpile!$B$10:$B$26,0),MATCH($Q84,Stockpile!$C$30:$M$30,0)),
IFERROR(INDEX('Asphalt Silo &amp; Unloading'!$D$10:$M$44,MATCH(A$97,'Asphalt Silo &amp; Unloading'!$B$10:$B$44,0),MATCH($Q84,'Asphalt Silo &amp; Unloading'!$D$49:$M$49,0)),""))))))</f>
        <v/>
      </c>
      <c r="B84" s="135" t="str">
        <f>IFERROR(INDEX('Material Handling'!$C$10:$AH$33,MATCH(B$97,Material_Handling[Data],0),MATCH($Q84,'Material Handling'!$C$40:$AH$40,0)), IFERROR(INDEX('Drop Point'!$B$13:$M$36,MATCH(B$97,'Drop Point'!$B$13:$B$37,0),MATCH($Q84,'Drop Point'!$B$41:$M$41,0)),
IFERROR(INDEX('Control - Grain dscf'!$C$11:$N$27,MATCH(B$97,'Control - Grain dscf'!$B$11:$B$27,0),MATCH($Q84,'Control - Grain dscf'!$C$32:$N$32,0)),
IFERROR(INDEX('Control - Alt'!$C$9:$O$27,MATCH(B$97,'Control - Alt'!$B$9:$B$27,0),MATCH($Q84,'Control - Alt'!$C$32:$O$32,0)),
IFERROR(INDEX(Stockpile!$C$10:$M$26,MATCH(B$97,Stockpile!$B$10:$B$26,0),MATCH($Q84,Stockpile!$C$30:$M$30,0)),
IFERROR(INDEX('Asphalt Silo &amp; Unloading'!$D$10:$M$44,MATCH(B$97,'Asphalt Silo &amp; Unloading'!$B$10:$B$44,0),MATCH($Q84,'Asphalt Silo &amp; Unloading'!$D$49:$M$49,0)),""))))))</f>
        <v/>
      </c>
      <c r="C84" s="135" t="str">
        <f>IFERROR(INDEX('Material Handling'!$C$10:$AH$33,MATCH(C$97,Material_Handling[Data],0),MATCH($Q84,'Material Handling'!$C$40:$AH$40,0)), IFERROR(INDEX('Drop Point'!$B$13:$M$36,MATCH(C$97,'Drop Point'!$B$13:$B$37,0),MATCH($Q84,'Drop Point'!$B$41:$M$41,0)),
IFERROR(INDEX('Control - Grain dscf'!$C$11:$N$27,MATCH(C$97,'Control - Grain dscf'!$B$11:$B$27,0),MATCH($Q84,'Control - Grain dscf'!$C$32:$N$32,0)),
IFERROR(INDEX('Control - Alt'!$C$9:$O$27,MATCH(C$97,'Control - Alt'!$B$9:$B$27,0),MATCH($Q84,'Control - Alt'!$C$32:$O$32,0)),
IFERROR(INDEX(Stockpile!$C$10:$M$26,MATCH(C$97,Stockpile!$B$10:$B$26,0),MATCH($Q84,Stockpile!$C$30:$M$30,0)),
IFERROR(INDEX('Asphalt Silo &amp; Unloading'!$D$10:$M$44,MATCH(C$97,'Asphalt Silo &amp; Unloading'!$B$10:$B$44,0),MATCH($Q84,'Asphalt Silo &amp; Unloading'!$D$49:$M$49,0)),""))))))</f>
        <v/>
      </c>
      <c r="D84" s="135" t="str">
        <f>IFERROR(INDEX('Material Handling'!$C$10:$AH$33,MATCH(D$97,Material_Handling[Data],0),MATCH($Q84,'Material Handling'!$C$40:$AH$40,0)), IFERROR(INDEX('Drop Point'!$B$13:$M$36,MATCH(D$97,'Drop Point'!$B$13:$B$37,0),MATCH($Q84,'Drop Point'!$B$41:$M$41,0)),
IFERROR(INDEX('Control - Grain dscf'!$C$11:$N$27,MATCH(D$97,'Control - Grain dscf'!$B$11:$B$27,0),MATCH($Q84,'Control - Grain dscf'!$C$32:$N$32,0)),
IFERROR(INDEX('Control - Alt'!$C$9:$O$27,MATCH(D$97,'Control - Alt'!$B$9:$B$27,0),MATCH($Q84,'Control - Alt'!$C$32:$O$32,0)),
IFERROR(INDEX(Stockpile!$C$10:$M$26,MATCH(D$97,Stockpile!$B$10:$B$26,0),MATCH($Q84,Stockpile!$C$30:$M$30,0)),
IFERROR(INDEX('Asphalt Silo &amp; Unloading'!$D$10:$M$44,MATCH(D$97,'Asphalt Silo &amp; Unloading'!$B$10:$B$44,0),MATCH($Q84,'Asphalt Silo &amp; Unloading'!$D$49:$M$49,0)),""))))))</f>
        <v/>
      </c>
      <c r="E84" s="620" t="str">
        <f>IFERROR(INDEX('Material Handling'!$C$10:$AH$33,MATCH(E$97,Material_Handling[Data],0),MATCH($Q84,'Material Handling'!$C$40:$AH$40,0)), IFERROR(INDEX('Drop Point'!$B$13:$M$36,MATCH(E$97,'Drop Point'!$B$13:$B$37,0),MATCH($Q84,'Drop Point'!$B$41:$M$41,0)),
IFERROR(INDEX('Control - Grain dscf'!$C$11:$N$27,MATCH(E$97,'Control - Grain dscf'!$B$11:$B$27,0),MATCH($Q84,'Control - Grain dscf'!$C$32:$N$32,0)),
IFERROR(INDEX('Control - Alt'!$C$9:$O$27,MATCH(E$97,'Control - Alt'!$B$9:$B$27,0),MATCH($Q84,'Control - Alt'!$C$32:$O$32,0)),
IFERROR(INDEX(Stockpile!$C$10:$M$26,MATCH(E$97,Stockpile!$B$10:$B$26,0),MATCH($Q84,Stockpile!$C$30:$M$30,0)),
IFERROR(INDEX('Asphalt Silo &amp; Unloading'!$D$10:$M$44,MATCH(E$97,'Asphalt Silo &amp; Unloading'!$B$10:$B$44,0),MATCH($Q84,'Asphalt Silo &amp; Unloading'!$D$49:$M$49,0)),""))))))</f>
        <v/>
      </c>
      <c r="F84" s="590" t="str">
        <f>IFERROR(INDEX('Material Handling'!$C$10:$AH$33,MATCH(F$97,Material_Handling[Data],0),MATCH($Q84,'Material Handling'!$C$40:$AH$40,0)), IFERROR(INDEX('Drop Point'!$B$13:$M$36,MATCH(F$97,'Drop Point'!$B$13:$B$37,0),MATCH($Q84,'Drop Point'!$B$41:$M$41,0)),
IFERROR(INDEX('Control - Grain dscf'!$C$11:$N$27,MATCH(F$97,'Control - Grain dscf'!$B$11:$B$27,0),MATCH($Q84,'Control - Grain dscf'!$C$32:$N$32,0)),
IFERROR(INDEX('Control - Alt'!$C$9:$O$27,MATCH(F$97,'Control - Alt'!$B$9:$B$27,0),MATCH($Q84,'Control - Alt'!$C$32:$O$32,0)),
IFERROR(INDEX(Stockpile!$C$10:$M$26,MATCH(F$97,Stockpile!$B$10:$B$26,0),MATCH($Q84,Stockpile!$C$30:$M$30,0)),
IFERROR(INDEX('Asphalt Silo &amp; Unloading'!$D$10:$M$44,MATCH(F$97,'Asphalt Silo &amp; Unloading'!$B$10:$B$44,0),MATCH($Q84,'Asphalt Silo &amp; Unloading'!$D$49:$M$49,0)),""))))))</f>
        <v/>
      </c>
      <c r="G84" s="590" t="str">
        <f>IFERROR(INDEX('Material Handling'!$C$10:$AH$33,MATCH(G$97,Material_Handling[Data],0),MATCH($Q84,'Material Handling'!$C$40:$AH$40,0)), IFERROR(INDEX('Drop Point'!$B$13:$M$36,MATCH(G$97,'Drop Point'!$B$13:$B$37,0),MATCH($Q84,'Drop Point'!$B$41:$M$41,0)),
IFERROR(INDEX('Control - Grain dscf'!$C$11:$N$27,MATCH(G$97,'Control - Grain dscf'!$B$11:$B$27,0),MATCH($Q84,'Control - Grain dscf'!$C$32:$N$32,0)),
IFERROR(INDEX('Control - Alt'!$C$9:$O$27,MATCH(G$97,'Control - Alt'!$B$9:$B$27,0),MATCH($Q84,'Control - Alt'!$C$32:$O$32,0)),
IFERROR(INDEX(Stockpile!$C$10:$M$26,MATCH(G$97,Stockpile!$B$10:$B$26,0),MATCH($Q84,Stockpile!$C$30:$M$30,0)),
IFERROR(INDEX('Asphalt Silo &amp; Unloading'!$D$10:$M$44,MATCH(G$97,'Asphalt Silo &amp; Unloading'!$B$10:$B$44,0),MATCH($Q84,'Asphalt Silo &amp; Unloading'!$D$49:$M$49,0)),""))))))</f>
        <v/>
      </c>
      <c r="H84" s="590" t="str">
        <f>IFERROR(INDEX('Material Handling'!$C$10:$AH$33,MATCH(H$97,Material_Handling[Data],0),MATCH($Q84,'Material Handling'!$C$40:$AH$40,0)), IFERROR(INDEX('Drop Point'!$B$13:$M$36,MATCH(H$97,'Drop Point'!$B$13:$B$37,0),MATCH($Q84,'Drop Point'!$B$41:$M$41,0)),
IFERROR(INDEX('Control - Grain dscf'!$C$11:$N$27,MATCH(H$97,'Control - Grain dscf'!$B$11:$B$27,0),MATCH($Q84,'Control - Grain dscf'!$C$32:$N$32,0)),
IFERROR(INDEX('Control - Alt'!$C$9:$O$27,MATCH(H$97,'Control - Alt'!$B$9:$B$27,0),MATCH($Q84,'Control - Alt'!$C$32:$O$32,0)),
IFERROR(INDEX(Stockpile!$C$10:$M$26,MATCH(H$97,Stockpile!$B$10:$B$26,0),MATCH($Q84,Stockpile!$C$30:$M$30,0)),
IFERROR(INDEX('Asphalt Silo &amp; Unloading'!$D$10:$M$44,MATCH(H$97,'Asphalt Silo &amp; Unloading'!$B$10:$B$44,0),MATCH($Q84,'Asphalt Silo &amp; Unloading'!$D$49:$M$49,0)),""))))))</f>
        <v/>
      </c>
      <c r="I84" s="590" t="str">
        <f>IFERROR(INDEX('Material Handling'!$C$10:$AH$33,MATCH(I$97,Material_Handling[Data],0),MATCH($Q84,'Material Handling'!$C$40:$AH$40,0)), IFERROR(INDEX('Drop Point'!$B$13:$M$36,MATCH(I$97,'Drop Point'!$B$13:$B$37,0),MATCH($Q84,'Drop Point'!$B$41:$M$41,0)),
IFERROR(INDEX('Control - Grain dscf'!$C$11:$N$27,MATCH(I$97,'Control - Grain dscf'!$B$11:$B$27,0),MATCH($Q84,'Control - Grain dscf'!$C$32:$N$32,0)),
IFERROR(INDEX('Control - Alt'!$C$9:$O$27,MATCH(I$97,'Control - Alt'!$B$9:$B$27,0),MATCH($Q84,'Control - Alt'!$C$32:$O$32,0)),
IFERROR(INDEX(Stockpile!$C$10:$M$26,MATCH(I$97,Stockpile!$B$10:$B$26,0),MATCH($Q84,Stockpile!$C$30:$M$30,0)),
IFERROR(INDEX('Asphalt Silo &amp; Unloading'!$D$10:$M$44,MATCH(I$97,'Asphalt Silo &amp; Unloading'!$B$10:$B$44,0),MATCH($Q84,'Asphalt Silo &amp; Unloading'!$D$49:$M$49,0)),""))))))</f>
        <v/>
      </c>
      <c r="J84" s="590" t="str">
        <f>IFERROR(INDEX('Material Handling'!$C$10:$AH$33,MATCH(J$97,Material_Handling[Data],0),MATCH($Q84,'Material Handling'!$C$40:$AH$40,0)), IFERROR(INDEX('Drop Point'!$B$13:$M$36,MATCH(J$97,'Drop Point'!$B$13:$B$37,0),MATCH($Q84,'Drop Point'!$B$41:$M$41,0)),
IFERROR(INDEX('Control - Grain dscf'!$C$11:$N$27,MATCH(J$97,'Control - Grain dscf'!$B$11:$B$27,0),MATCH($Q84,'Control - Grain dscf'!$C$32:$N$32,0)),
IFERROR(INDEX('Control - Alt'!$C$9:$O$27,MATCH(J$97,'Control - Alt'!$B$9:$B$27,0),MATCH($Q84,'Control - Alt'!$C$32:$O$32,0)),
IFERROR(INDEX(Stockpile!$C$10:$M$26,MATCH(J$97,Stockpile!$B$10:$B$26,0),MATCH($Q84,Stockpile!$C$30:$M$30,0)),
IFERROR(INDEX('Asphalt Silo &amp; Unloading'!$D$10:$M$44,MATCH(J$97,'Asphalt Silo &amp; Unloading'!$B$10:$B$44,0),MATCH($Q84,'Asphalt Silo &amp; Unloading'!$D$49:$M$49,0)),""))))))</f>
        <v/>
      </c>
      <c r="K84" s="590" t="str">
        <f>IFERROR(INDEX('Material Handling'!$C$10:$AH$33,MATCH(K$97,Material_Handling[Data],0),MATCH($Q84,'Material Handling'!$C$40:$AH$40,0)), IFERROR(INDEX('Drop Point'!$B$13:$M$36,MATCH(K$97,'Drop Point'!$B$13:$B$37,0),MATCH($Q84,'Drop Point'!$B$41:$M$41,0)),
IFERROR(INDEX('Control - Grain dscf'!$C$11:$N$27,MATCH(K$97,'Control - Grain dscf'!$B$11:$B$27,0),MATCH($Q84,'Control - Grain dscf'!$C$32:$N$32,0)),
IFERROR(INDEX('Control - Alt'!$C$9:$O$27,MATCH(K$97,'Control - Alt'!$B$9:$B$27,0),MATCH($Q84,'Control - Alt'!$C$32:$O$32,0)),
IFERROR(INDEX(Stockpile!$C$10:$M$26,MATCH(K$97,Stockpile!$B$10:$B$26,0),MATCH($Q84,Stockpile!$C$30:$M$30,0)),
IFERROR(INDEX('Asphalt Silo &amp; Unloading'!$D$10:$M$44,MATCH(K$97,'Asphalt Silo &amp; Unloading'!$B$10:$B$44,0),MATCH($Q84,'Asphalt Silo &amp; Unloading'!$D$49:$M$49,0)),""))))))</f>
        <v/>
      </c>
      <c r="L84" s="590" t="str">
        <f>IFERROR(INDEX('Material Handling'!$C$10:$AH$33,MATCH(L$97,Material_Handling[Data],0),MATCH($Q84,'Material Handling'!$C$40:$AH$40,0)), IFERROR(INDEX('Drop Point'!$B$13:$M$36,MATCH(L$97,'Drop Point'!$B$13:$B$37,0),MATCH($Q84,'Drop Point'!$B$41:$M$41,0)),
IFERROR(INDEX('Control - Grain dscf'!$C$11:$N$27,MATCH(L$97,'Control - Grain dscf'!$B$11:$B$27,0),MATCH($Q84,'Control - Grain dscf'!$C$32:$N$32,0)),
IFERROR(INDEX('Control - Alt'!$C$9:$O$27,MATCH(L$97,'Control - Alt'!$B$9:$B$27,0),MATCH($Q84,'Control - Alt'!$C$32:$O$32,0)),
IFERROR(INDEX(Stockpile!$C$10:$M$26,MATCH(L$97,Stockpile!$B$10:$B$26,0),MATCH($Q84,Stockpile!$C$30:$M$30,0)),
IFERROR(INDEX('Asphalt Silo &amp; Unloading'!$D$10:$M$44,MATCH(L$97,'Asphalt Silo &amp; Unloading'!$B$10:$B$44,0),MATCH($Q84,'Asphalt Silo &amp; Unloading'!$D$49:$M$49,0)),""))))))</f>
        <v/>
      </c>
      <c r="M84" s="590" t="str">
        <f>IFERROR(INDEX('Material Handling'!$C$10:$AH$33,MATCH(M$97,Material_Handling[Data],0),MATCH($Q84,'Material Handling'!$C$40:$AH$40,0)), IFERROR(INDEX('Drop Point'!$B$13:$M$36,MATCH(M$97,'Drop Point'!$B$13:$B$37,0),MATCH($Q84,'Drop Point'!$B$41:$M$41,0)),
IFERROR(INDEX('Control - Grain dscf'!$C$11:$N$27,MATCH(M$97,'Control - Grain dscf'!$B$11:$B$27,0),MATCH($Q84,'Control - Grain dscf'!$C$32:$N$32,0)),
IFERROR(INDEX('Control - Alt'!$C$9:$O$27,MATCH(M$97,'Control - Alt'!$B$9:$B$27,0),MATCH($Q84,'Control - Alt'!$C$32:$O$32,0)),
IFERROR(INDEX(Stockpile!$C$10:$M$26,MATCH(M$97,Stockpile!$B$10:$B$26,0),MATCH($Q84,Stockpile!$C$30:$M$30,0)),
IFERROR(INDEX('Asphalt Silo &amp; Unloading'!$D$10:$M$44,MATCH(M$97,'Asphalt Silo &amp; Unloading'!$B$10:$B$44,0),MATCH($Q84,'Asphalt Silo &amp; Unloading'!$D$49:$M$49,0)),""))))))</f>
        <v/>
      </c>
      <c r="N84" s="590" t="str">
        <f>IFERROR(INDEX('Material Handling'!$C$10:$AH$33,MATCH(N$97,Material_Handling[Data],0),MATCH($Q84,'Material Handling'!$C$40:$AH$40,0)), IFERROR(INDEX('Drop Point'!$B$13:$M$36,MATCH(N$97,'Drop Point'!$B$13:$B$37,0),MATCH($Q84,'Drop Point'!$B$41:$M$41,0)),
IFERROR(INDEX('Control - Grain dscf'!$C$11:$N$27,MATCH(N$97,'Control - Grain dscf'!$B$11:$B$27,0),MATCH($Q84,'Control - Grain dscf'!$C$32:$N$32,0)),
IFERROR(INDEX('Control - Alt'!$C$9:$O$27,MATCH(N$97,'Control - Alt'!$B$9:$B$27,0),MATCH($Q84,'Control - Alt'!$C$32:$O$32,0)),
IFERROR(INDEX(Stockpile!$C$10:$M$26,MATCH(N$97,Stockpile!$B$10:$B$26,0),MATCH($Q84,Stockpile!$C$30:$M$30,0)),
IFERROR(INDEX('Asphalt Silo &amp; Unloading'!$D$10:$M$44,MATCH(N$97,'Asphalt Silo &amp; Unloading'!$B$10:$B$44,0),MATCH($Q84,'Asphalt Silo &amp; Unloading'!$D$49:$M$49,0)),""))))))</f>
        <v/>
      </c>
      <c r="O84" s="591" t="str">
        <f>IFERROR(INDEX('Material Handling'!$C$10:$AH$33,MATCH(O$97,Material_Handling[Data],0),MATCH($Q84,'Material Handling'!$C$40:$AH$40,0)), IFERROR(INDEX('Drop Point'!$B$13:$M$36,MATCH(O$97,'Drop Point'!$B$13:$B$37,0),MATCH($Q84,'Drop Point'!$B$41:$M$41,0)),
IFERROR(INDEX('Control - Grain dscf'!$C$11:$N$27,MATCH(O$97,'Control - Grain dscf'!$B$11:$B$27,0),MATCH($Q84,'Control - Grain dscf'!$C$32:$N$32,0)),
IFERROR(INDEX('Control - Alt'!$C$9:$O$27,MATCH(O$97,'Control - Alt'!$B$9:$B$27,0),MATCH($Q84,'Control - Alt'!$C$32:$O$32,0)),
IFERROR(INDEX(Stockpile!$C$10:$M$26,MATCH(O$97,Stockpile!$B$10:$B$26,0),MATCH($Q84,Stockpile!$C$30:$M$30,0)),
IFERROR(INDEX('Asphalt Silo &amp; Unloading'!$D$10:$M$44,MATCH(O$97,'Asphalt Silo &amp; Unloading'!$B$10:$B$44,0),MATCH($Q84,'Asphalt Silo &amp; Unloading'!$D$49:$M$49,0)),""))))))</f>
        <v/>
      </c>
      <c r="Q84" s="131">
        <f t="shared" si="2"/>
        <v>76</v>
      </c>
    </row>
    <row r="85" spans="1:17" ht="20.100000000000001" customHeight="1">
      <c r="A85" s="293" t="str">
        <f>IFERROR(INDEX('Material Handling'!$C$10:$AH$33,MATCH(A$97,Material_Handling[Data],0),MATCH($Q85,'Material Handling'!$C$40:$AH$40,0)), IFERROR(INDEX('Drop Point'!$B$13:$M$36,MATCH(A$97,'Drop Point'!$B$13:$B$37,0),MATCH($Q85,'Drop Point'!$B$41:$M$41,0)),
IFERROR(INDEX('Control - Grain dscf'!$C$11:$N$27,MATCH(A$97,'Control - Grain dscf'!$B$11:$B$27,0),MATCH($Q85,'Control - Grain dscf'!$C$32:$N$32,0)),
IFERROR(INDEX('Control - Alt'!$C$9:$O$27,MATCH(A$97,'Control - Alt'!$B$9:$B$27,0),MATCH($Q85,'Control - Alt'!$C$32:$O$32,0)),
IFERROR(INDEX(Stockpile!$C$10:$M$26,MATCH(A$97,Stockpile!$B$10:$B$26,0),MATCH($Q85,Stockpile!$C$30:$M$30,0)),
IFERROR(INDEX('Asphalt Silo &amp; Unloading'!$D$10:$M$44,MATCH(A$97,'Asphalt Silo &amp; Unloading'!$B$10:$B$44,0),MATCH($Q85,'Asphalt Silo &amp; Unloading'!$D$49:$M$49,0)),""))))))</f>
        <v/>
      </c>
      <c r="B85" s="135" t="str">
        <f>IFERROR(INDEX('Material Handling'!$C$10:$AH$33,MATCH(B$97,Material_Handling[Data],0),MATCH($Q85,'Material Handling'!$C$40:$AH$40,0)), IFERROR(INDEX('Drop Point'!$B$13:$M$36,MATCH(B$97,'Drop Point'!$B$13:$B$37,0),MATCH($Q85,'Drop Point'!$B$41:$M$41,0)),
IFERROR(INDEX('Control - Grain dscf'!$C$11:$N$27,MATCH(B$97,'Control - Grain dscf'!$B$11:$B$27,0),MATCH($Q85,'Control - Grain dscf'!$C$32:$N$32,0)),
IFERROR(INDEX('Control - Alt'!$C$9:$O$27,MATCH(B$97,'Control - Alt'!$B$9:$B$27,0),MATCH($Q85,'Control - Alt'!$C$32:$O$32,0)),
IFERROR(INDEX(Stockpile!$C$10:$M$26,MATCH(B$97,Stockpile!$B$10:$B$26,0),MATCH($Q85,Stockpile!$C$30:$M$30,0)),
IFERROR(INDEX('Asphalt Silo &amp; Unloading'!$D$10:$M$44,MATCH(B$97,'Asphalt Silo &amp; Unloading'!$B$10:$B$44,0),MATCH($Q85,'Asphalt Silo &amp; Unloading'!$D$49:$M$49,0)),""))))))</f>
        <v/>
      </c>
      <c r="C85" s="135" t="str">
        <f>IFERROR(INDEX('Material Handling'!$C$10:$AH$33,MATCH(C$97,Material_Handling[Data],0),MATCH($Q85,'Material Handling'!$C$40:$AH$40,0)), IFERROR(INDEX('Drop Point'!$B$13:$M$36,MATCH(C$97,'Drop Point'!$B$13:$B$37,0),MATCH($Q85,'Drop Point'!$B$41:$M$41,0)),
IFERROR(INDEX('Control - Grain dscf'!$C$11:$N$27,MATCH(C$97,'Control - Grain dscf'!$B$11:$B$27,0),MATCH($Q85,'Control - Grain dscf'!$C$32:$N$32,0)),
IFERROR(INDEX('Control - Alt'!$C$9:$O$27,MATCH(C$97,'Control - Alt'!$B$9:$B$27,0),MATCH($Q85,'Control - Alt'!$C$32:$O$32,0)),
IFERROR(INDEX(Stockpile!$C$10:$M$26,MATCH(C$97,Stockpile!$B$10:$B$26,0),MATCH($Q85,Stockpile!$C$30:$M$30,0)),
IFERROR(INDEX('Asphalt Silo &amp; Unloading'!$D$10:$M$44,MATCH(C$97,'Asphalt Silo &amp; Unloading'!$B$10:$B$44,0),MATCH($Q85,'Asphalt Silo &amp; Unloading'!$D$49:$M$49,0)),""))))))</f>
        <v/>
      </c>
      <c r="D85" s="135" t="str">
        <f>IFERROR(INDEX('Material Handling'!$C$10:$AH$33,MATCH(D$97,Material_Handling[Data],0),MATCH($Q85,'Material Handling'!$C$40:$AH$40,0)), IFERROR(INDEX('Drop Point'!$B$13:$M$36,MATCH(D$97,'Drop Point'!$B$13:$B$37,0),MATCH($Q85,'Drop Point'!$B$41:$M$41,0)),
IFERROR(INDEX('Control - Grain dscf'!$C$11:$N$27,MATCH(D$97,'Control - Grain dscf'!$B$11:$B$27,0),MATCH($Q85,'Control - Grain dscf'!$C$32:$N$32,0)),
IFERROR(INDEX('Control - Alt'!$C$9:$O$27,MATCH(D$97,'Control - Alt'!$B$9:$B$27,0),MATCH($Q85,'Control - Alt'!$C$32:$O$32,0)),
IFERROR(INDEX(Stockpile!$C$10:$M$26,MATCH(D$97,Stockpile!$B$10:$B$26,0),MATCH($Q85,Stockpile!$C$30:$M$30,0)),
IFERROR(INDEX('Asphalt Silo &amp; Unloading'!$D$10:$M$44,MATCH(D$97,'Asphalt Silo &amp; Unloading'!$B$10:$B$44,0),MATCH($Q85,'Asphalt Silo &amp; Unloading'!$D$49:$M$49,0)),""))))))</f>
        <v/>
      </c>
      <c r="E85" s="620" t="str">
        <f>IFERROR(INDEX('Material Handling'!$C$10:$AH$33,MATCH(E$97,Material_Handling[Data],0),MATCH($Q85,'Material Handling'!$C$40:$AH$40,0)), IFERROR(INDEX('Drop Point'!$B$13:$M$36,MATCH(E$97,'Drop Point'!$B$13:$B$37,0),MATCH($Q85,'Drop Point'!$B$41:$M$41,0)),
IFERROR(INDEX('Control - Grain dscf'!$C$11:$N$27,MATCH(E$97,'Control - Grain dscf'!$B$11:$B$27,0),MATCH($Q85,'Control - Grain dscf'!$C$32:$N$32,0)),
IFERROR(INDEX('Control - Alt'!$C$9:$O$27,MATCH(E$97,'Control - Alt'!$B$9:$B$27,0),MATCH($Q85,'Control - Alt'!$C$32:$O$32,0)),
IFERROR(INDEX(Stockpile!$C$10:$M$26,MATCH(E$97,Stockpile!$B$10:$B$26,0),MATCH($Q85,Stockpile!$C$30:$M$30,0)),
IFERROR(INDEX('Asphalt Silo &amp; Unloading'!$D$10:$M$44,MATCH(E$97,'Asphalt Silo &amp; Unloading'!$B$10:$B$44,0),MATCH($Q85,'Asphalt Silo &amp; Unloading'!$D$49:$M$49,0)),""))))))</f>
        <v/>
      </c>
      <c r="F85" s="590" t="str">
        <f>IFERROR(INDEX('Material Handling'!$C$10:$AH$33,MATCH(F$97,Material_Handling[Data],0),MATCH($Q85,'Material Handling'!$C$40:$AH$40,0)), IFERROR(INDEX('Drop Point'!$B$13:$M$36,MATCH(F$97,'Drop Point'!$B$13:$B$37,0),MATCH($Q85,'Drop Point'!$B$41:$M$41,0)),
IFERROR(INDEX('Control - Grain dscf'!$C$11:$N$27,MATCH(F$97,'Control - Grain dscf'!$B$11:$B$27,0),MATCH($Q85,'Control - Grain dscf'!$C$32:$N$32,0)),
IFERROR(INDEX('Control - Alt'!$C$9:$O$27,MATCH(F$97,'Control - Alt'!$B$9:$B$27,0),MATCH($Q85,'Control - Alt'!$C$32:$O$32,0)),
IFERROR(INDEX(Stockpile!$C$10:$M$26,MATCH(F$97,Stockpile!$B$10:$B$26,0),MATCH($Q85,Stockpile!$C$30:$M$30,0)),
IFERROR(INDEX('Asphalt Silo &amp; Unloading'!$D$10:$M$44,MATCH(F$97,'Asphalt Silo &amp; Unloading'!$B$10:$B$44,0),MATCH($Q85,'Asphalt Silo &amp; Unloading'!$D$49:$M$49,0)),""))))))</f>
        <v/>
      </c>
      <c r="G85" s="590" t="str">
        <f>IFERROR(INDEX('Material Handling'!$C$10:$AH$33,MATCH(G$97,Material_Handling[Data],0),MATCH($Q85,'Material Handling'!$C$40:$AH$40,0)), IFERROR(INDEX('Drop Point'!$B$13:$M$36,MATCH(G$97,'Drop Point'!$B$13:$B$37,0),MATCH($Q85,'Drop Point'!$B$41:$M$41,0)),
IFERROR(INDEX('Control - Grain dscf'!$C$11:$N$27,MATCH(G$97,'Control - Grain dscf'!$B$11:$B$27,0),MATCH($Q85,'Control - Grain dscf'!$C$32:$N$32,0)),
IFERROR(INDEX('Control - Alt'!$C$9:$O$27,MATCH(G$97,'Control - Alt'!$B$9:$B$27,0),MATCH($Q85,'Control - Alt'!$C$32:$O$32,0)),
IFERROR(INDEX(Stockpile!$C$10:$M$26,MATCH(G$97,Stockpile!$B$10:$B$26,0),MATCH($Q85,Stockpile!$C$30:$M$30,0)),
IFERROR(INDEX('Asphalt Silo &amp; Unloading'!$D$10:$M$44,MATCH(G$97,'Asphalt Silo &amp; Unloading'!$B$10:$B$44,0),MATCH($Q85,'Asphalt Silo &amp; Unloading'!$D$49:$M$49,0)),""))))))</f>
        <v/>
      </c>
      <c r="H85" s="590" t="str">
        <f>IFERROR(INDEX('Material Handling'!$C$10:$AH$33,MATCH(H$97,Material_Handling[Data],0),MATCH($Q85,'Material Handling'!$C$40:$AH$40,0)), IFERROR(INDEX('Drop Point'!$B$13:$M$36,MATCH(H$97,'Drop Point'!$B$13:$B$37,0),MATCH($Q85,'Drop Point'!$B$41:$M$41,0)),
IFERROR(INDEX('Control - Grain dscf'!$C$11:$N$27,MATCH(H$97,'Control - Grain dscf'!$B$11:$B$27,0),MATCH($Q85,'Control - Grain dscf'!$C$32:$N$32,0)),
IFERROR(INDEX('Control - Alt'!$C$9:$O$27,MATCH(H$97,'Control - Alt'!$B$9:$B$27,0),MATCH($Q85,'Control - Alt'!$C$32:$O$32,0)),
IFERROR(INDEX(Stockpile!$C$10:$M$26,MATCH(H$97,Stockpile!$B$10:$B$26,0),MATCH($Q85,Stockpile!$C$30:$M$30,0)),
IFERROR(INDEX('Asphalt Silo &amp; Unloading'!$D$10:$M$44,MATCH(H$97,'Asphalt Silo &amp; Unloading'!$B$10:$B$44,0),MATCH($Q85,'Asphalt Silo &amp; Unloading'!$D$49:$M$49,0)),""))))))</f>
        <v/>
      </c>
      <c r="I85" s="590" t="str">
        <f>IFERROR(INDEX('Material Handling'!$C$10:$AH$33,MATCH(I$97,Material_Handling[Data],0),MATCH($Q85,'Material Handling'!$C$40:$AH$40,0)), IFERROR(INDEX('Drop Point'!$B$13:$M$36,MATCH(I$97,'Drop Point'!$B$13:$B$37,0),MATCH($Q85,'Drop Point'!$B$41:$M$41,0)),
IFERROR(INDEX('Control - Grain dscf'!$C$11:$N$27,MATCH(I$97,'Control - Grain dscf'!$B$11:$B$27,0),MATCH($Q85,'Control - Grain dscf'!$C$32:$N$32,0)),
IFERROR(INDEX('Control - Alt'!$C$9:$O$27,MATCH(I$97,'Control - Alt'!$B$9:$B$27,0),MATCH($Q85,'Control - Alt'!$C$32:$O$32,0)),
IFERROR(INDEX(Stockpile!$C$10:$M$26,MATCH(I$97,Stockpile!$B$10:$B$26,0),MATCH($Q85,Stockpile!$C$30:$M$30,0)),
IFERROR(INDEX('Asphalt Silo &amp; Unloading'!$D$10:$M$44,MATCH(I$97,'Asphalt Silo &amp; Unloading'!$B$10:$B$44,0),MATCH($Q85,'Asphalt Silo &amp; Unloading'!$D$49:$M$49,0)),""))))))</f>
        <v/>
      </c>
      <c r="J85" s="590" t="str">
        <f>IFERROR(INDEX('Material Handling'!$C$10:$AH$33,MATCH(J$97,Material_Handling[Data],0),MATCH($Q85,'Material Handling'!$C$40:$AH$40,0)), IFERROR(INDEX('Drop Point'!$B$13:$M$36,MATCH(J$97,'Drop Point'!$B$13:$B$37,0),MATCH($Q85,'Drop Point'!$B$41:$M$41,0)),
IFERROR(INDEX('Control - Grain dscf'!$C$11:$N$27,MATCH(J$97,'Control - Grain dscf'!$B$11:$B$27,0),MATCH($Q85,'Control - Grain dscf'!$C$32:$N$32,0)),
IFERROR(INDEX('Control - Alt'!$C$9:$O$27,MATCH(J$97,'Control - Alt'!$B$9:$B$27,0),MATCH($Q85,'Control - Alt'!$C$32:$O$32,0)),
IFERROR(INDEX(Stockpile!$C$10:$M$26,MATCH(J$97,Stockpile!$B$10:$B$26,0),MATCH($Q85,Stockpile!$C$30:$M$30,0)),
IFERROR(INDEX('Asphalt Silo &amp; Unloading'!$D$10:$M$44,MATCH(J$97,'Asphalt Silo &amp; Unloading'!$B$10:$B$44,0),MATCH($Q85,'Asphalt Silo &amp; Unloading'!$D$49:$M$49,0)),""))))))</f>
        <v/>
      </c>
      <c r="K85" s="590" t="str">
        <f>IFERROR(INDEX('Material Handling'!$C$10:$AH$33,MATCH(K$97,Material_Handling[Data],0),MATCH($Q85,'Material Handling'!$C$40:$AH$40,0)), IFERROR(INDEX('Drop Point'!$B$13:$M$36,MATCH(K$97,'Drop Point'!$B$13:$B$37,0),MATCH($Q85,'Drop Point'!$B$41:$M$41,0)),
IFERROR(INDEX('Control - Grain dscf'!$C$11:$N$27,MATCH(K$97,'Control - Grain dscf'!$B$11:$B$27,0),MATCH($Q85,'Control - Grain dscf'!$C$32:$N$32,0)),
IFERROR(INDEX('Control - Alt'!$C$9:$O$27,MATCH(K$97,'Control - Alt'!$B$9:$B$27,0),MATCH($Q85,'Control - Alt'!$C$32:$O$32,0)),
IFERROR(INDEX(Stockpile!$C$10:$M$26,MATCH(K$97,Stockpile!$B$10:$B$26,0),MATCH($Q85,Stockpile!$C$30:$M$30,0)),
IFERROR(INDEX('Asphalt Silo &amp; Unloading'!$D$10:$M$44,MATCH(K$97,'Asphalt Silo &amp; Unloading'!$B$10:$B$44,0),MATCH($Q85,'Asphalt Silo &amp; Unloading'!$D$49:$M$49,0)),""))))))</f>
        <v/>
      </c>
      <c r="L85" s="590" t="str">
        <f>IFERROR(INDEX('Material Handling'!$C$10:$AH$33,MATCH(L$97,Material_Handling[Data],0),MATCH($Q85,'Material Handling'!$C$40:$AH$40,0)), IFERROR(INDEX('Drop Point'!$B$13:$M$36,MATCH(L$97,'Drop Point'!$B$13:$B$37,0),MATCH($Q85,'Drop Point'!$B$41:$M$41,0)),
IFERROR(INDEX('Control - Grain dscf'!$C$11:$N$27,MATCH(L$97,'Control - Grain dscf'!$B$11:$B$27,0),MATCH($Q85,'Control - Grain dscf'!$C$32:$N$32,0)),
IFERROR(INDEX('Control - Alt'!$C$9:$O$27,MATCH(L$97,'Control - Alt'!$B$9:$B$27,0),MATCH($Q85,'Control - Alt'!$C$32:$O$32,0)),
IFERROR(INDEX(Stockpile!$C$10:$M$26,MATCH(L$97,Stockpile!$B$10:$B$26,0),MATCH($Q85,Stockpile!$C$30:$M$30,0)),
IFERROR(INDEX('Asphalt Silo &amp; Unloading'!$D$10:$M$44,MATCH(L$97,'Asphalt Silo &amp; Unloading'!$B$10:$B$44,0),MATCH($Q85,'Asphalt Silo &amp; Unloading'!$D$49:$M$49,0)),""))))))</f>
        <v/>
      </c>
      <c r="M85" s="590" t="str">
        <f>IFERROR(INDEX('Material Handling'!$C$10:$AH$33,MATCH(M$97,Material_Handling[Data],0),MATCH($Q85,'Material Handling'!$C$40:$AH$40,0)), IFERROR(INDEX('Drop Point'!$B$13:$M$36,MATCH(M$97,'Drop Point'!$B$13:$B$37,0),MATCH($Q85,'Drop Point'!$B$41:$M$41,0)),
IFERROR(INDEX('Control - Grain dscf'!$C$11:$N$27,MATCH(M$97,'Control - Grain dscf'!$B$11:$B$27,0),MATCH($Q85,'Control - Grain dscf'!$C$32:$N$32,0)),
IFERROR(INDEX('Control - Alt'!$C$9:$O$27,MATCH(M$97,'Control - Alt'!$B$9:$B$27,0),MATCH($Q85,'Control - Alt'!$C$32:$O$32,0)),
IFERROR(INDEX(Stockpile!$C$10:$M$26,MATCH(M$97,Stockpile!$B$10:$B$26,0),MATCH($Q85,Stockpile!$C$30:$M$30,0)),
IFERROR(INDEX('Asphalt Silo &amp; Unloading'!$D$10:$M$44,MATCH(M$97,'Asphalt Silo &amp; Unloading'!$B$10:$B$44,0),MATCH($Q85,'Asphalt Silo &amp; Unloading'!$D$49:$M$49,0)),""))))))</f>
        <v/>
      </c>
      <c r="N85" s="590" t="str">
        <f>IFERROR(INDEX('Material Handling'!$C$10:$AH$33,MATCH(N$97,Material_Handling[Data],0),MATCH($Q85,'Material Handling'!$C$40:$AH$40,0)), IFERROR(INDEX('Drop Point'!$B$13:$M$36,MATCH(N$97,'Drop Point'!$B$13:$B$37,0),MATCH($Q85,'Drop Point'!$B$41:$M$41,0)),
IFERROR(INDEX('Control - Grain dscf'!$C$11:$N$27,MATCH(N$97,'Control - Grain dscf'!$B$11:$B$27,0),MATCH($Q85,'Control - Grain dscf'!$C$32:$N$32,0)),
IFERROR(INDEX('Control - Alt'!$C$9:$O$27,MATCH(N$97,'Control - Alt'!$B$9:$B$27,0),MATCH($Q85,'Control - Alt'!$C$32:$O$32,0)),
IFERROR(INDEX(Stockpile!$C$10:$M$26,MATCH(N$97,Stockpile!$B$10:$B$26,0),MATCH($Q85,Stockpile!$C$30:$M$30,0)),
IFERROR(INDEX('Asphalt Silo &amp; Unloading'!$D$10:$M$44,MATCH(N$97,'Asphalt Silo &amp; Unloading'!$B$10:$B$44,0),MATCH($Q85,'Asphalt Silo &amp; Unloading'!$D$49:$M$49,0)),""))))))</f>
        <v/>
      </c>
      <c r="O85" s="591" t="str">
        <f>IFERROR(INDEX('Material Handling'!$C$10:$AH$33,MATCH(O$97,Material_Handling[Data],0),MATCH($Q85,'Material Handling'!$C$40:$AH$40,0)), IFERROR(INDEX('Drop Point'!$B$13:$M$36,MATCH(O$97,'Drop Point'!$B$13:$B$37,0),MATCH($Q85,'Drop Point'!$B$41:$M$41,0)),
IFERROR(INDEX('Control - Grain dscf'!$C$11:$N$27,MATCH(O$97,'Control - Grain dscf'!$B$11:$B$27,0),MATCH($Q85,'Control - Grain dscf'!$C$32:$N$32,0)),
IFERROR(INDEX('Control - Alt'!$C$9:$O$27,MATCH(O$97,'Control - Alt'!$B$9:$B$27,0),MATCH($Q85,'Control - Alt'!$C$32:$O$32,0)),
IFERROR(INDEX(Stockpile!$C$10:$M$26,MATCH(O$97,Stockpile!$B$10:$B$26,0),MATCH($Q85,Stockpile!$C$30:$M$30,0)),
IFERROR(INDEX('Asphalt Silo &amp; Unloading'!$D$10:$M$44,MATCH(O$97,'Asphalt Silo &amp; Unloading'!$B$10:$B$44,0),MATCH($Q85,'Asphalt Silo &amp; Unloading'!$D$49:$M$49,0)),""))))))</f>
        <v/>
      </c>
      <c r="Q85" s="131">
        <f t="shared" si="2"/>
        <v>77</v>
      </c>
    </row>
    <row r="86" spans="1:17" ht="20.100000000000001" customHeight="1">
      <c r="A86" s="293" t="str">
        <f>IFERROR(INDEX('Material Handling'!$C$10:$AH$33,MATCH(A$97,Material_Handling[Data],0),MATCH($Q86,'Material Handling'!$C$40:$AH$40,0)), IFERROR(INDEX('Drop Point'!$B$13:$M$36,MATCH(A$97,'Drop Point'!$B$13:$B$37,0),MATCH($Q86,'Drop Point'!$B$41:$M$41,0)),
IFERROR(INDEX('Control - Grain dscf'!$C$11:$N$27,MATCH(A$97,'Control - Grain dscf'!$B$11:$B$27,0),MATCH($Q86,'Control - Grain dscf'!$C$32:$N$32,0)),
IFERROR(INDEX('Control - Alt'!$C$9:$O$27,MATCH(A$97,'Control - Alt'!$B$9:$B$27,0),MATCH($Q86,'Control - Alt'!$C$32:$O$32,0)),
IFERROR(INDEX(Stockpile!$C$10:$M$26,MATCH(A$97,Stockpile!$B$10:$B$26,0),MATCH($Q86,Stockpile!$C$30:$M$30,0)),
IFERROR(INDEX('Asphalt Silo &amp; Unloading'!$D$10:$M$44,MATCH(A$97,'Asphalt Silo &amp; Unloading'!$B$10:$B$44,0),MATCH($Q86,'Asphalt Silo &amp; Unloading'!$D$49:$M$49,0)),""))))))</f>
        <v/>
      </c>
      <c r="B86" s="135" t="str">
        <f>IFERROR(INDEX('Material Handling'!$C$10:$AH$33,MATCH(B$97,Material_Handling[Data],0),MATCH($Q86,'Material Handling'!$C$40:$AH$40,0)), IFERROR(INDEX('Drop Point'!$B$13:$M$36,MATCH(B$97,'Drop Point'!$B$13:$B$37,0),MATCH($Q86,'Drop Point'!$B$41:$M$41,0)),
IFERROR(INDEX('Control - Grain dscf'!$C$11:$N$27,MATCH(B$97,'Control - Grain dscf'!$B$11:$B$27,0),MATCH($Q86,'Control - Grain dscf'!$C$32:$N$32,0)),
IFERROR(INDEX('Control - Alt'!$C$9:$O$27,MATCH(B$97,'Control - Alt'!$B$9:$B$27,0),MATCH($Q86,'Control - Alt'!$C$32:$O$32,0)),
IFERROR(INDEX(Stockpile!$C$10:$M$26,MATCH(B$97,Stockpile!$B$10:$B$26,0),MATCH($Q86,Stockpile!$C$30:$M$30,0)),
IFERROR(INDEX('Asphalt Silo &amp; Unloading'!$D$10:$M$44,MATCH(B$97,'Asphalt Silo &amp; Unloading'!$B$10:$B$44,0),MATCH($Q86,'Asphalt Silo &amp; Unloading'!$D$49:$M$49,0)),""))))))</f>
        <v/>
      </c>
      <c r="C86" s="135" t="str">
        <f>IFERROR(INDEX('Material Handling'!$C$10:$AH$33,MATCH(C$97,Material_Handling[Data],0),MATCH($Q86,'Material Handling'!$C$40:$AH$40,0)), IFERROR(INDEX('Drop Point'!$B$13:$M$36,MATCH(C$97,'Drop Point'!$B$13:$B$37,0),MATCH($Q86,'Drop Point'!$B$41:$M$41,0)),
IFERROR(INDEX('Control - Grain dscf'!$C$11:$N$27,MATCH(C$97,'Control - Grain dscf'!$B$11:$B$27,0),MATCH($Q86,'Control - Grain dscf'!$C$32:$N$32,0)),
IFERROR(INDEX('Control - Alt'!$C$9:$O$27,MATCH(C$97,'Control - Alt'!$B$9:$B$27,0),MATCH($Q86,'Control - Alt'!$C$32:$O$32,0)),
IFERROR(INDEX(Stockpile!$C$10:$M$26,MATCH(C$97,Stockpile!$B$10:$B$26,0),MATCH($Q86,Stockpile!$C$30:$M$30,0)),
IFERROR(INDEX('Asphalt Silo &amp; Unloading'!$D$10:$M$44,MATCH(C$97,'Asphalt Silo &amp; Unloading'!$B$10:$B$44,0),MATCH($Q86,'Asphalt Silo &amp; Unloading'!$D$49:$M$49,0)),""))))))</f>
        <v/>
      </c>
      <c r="D86" s="135" t="str">
        <f>IFERROR(INDEX('Material Handling'!$C$10:$AH$33,MATCH(D$97,Material_Handling[Data],0),MATCH($Q86,'Material Handling'!$C$40:$AH$40,0)), IFERROR(INDEX('Drop Point'!$B$13:$M$36,MATCH(D$97,'Drop Point'!$B$13:$B$37,0),MATCH($Q86,'Drop Point'!$B$41:$M$41,0)),
IFERROR(INDEX('Control - Grain dscf'!$C$11:$N$27,MATCH(D$97,'Control - Grain dscf'!$B$11:$B$27,0),MATCH($Q86,'Control - Grain dscf'!$C$32:$N$32,0)),
IFERROR(INDEX('Control - Alt'!$C$9:$O$27,MATCH(D$97,'Control - Alt'!$B$9:$B$27,0),MATCH($Q86,'Control - Alt'!$C$32:$O$32,0)),
IFERROR(INDEX(Stockpile!$C$10:$M$26,MATCH(D$97,Stockpile!$B$10:$B$26,0),MATCH($Q86,Stockpile!$C$30:$M$30,0)),
IFERROR(INDEX('Asphalt Silo &amp; Unloading'!$D$10:$M$44,MATCH(D$97,'Asphalt Silo &amp; Unloading'!$B$10:$B$44,0),MATCH($Q86,'Asphalt Silo &amp; Unloading'!$D$49:$M$49,0)),""))))))</f>
        <v/>
      </c>
      <c r="E86" s="620" t="str">
        <f>IFERROR(INDEX('Material Handling'!$C$10:$AH$33,MATCH(E$97,Material_Handling[Data],0),MATCH($Q86,'Material Handling'!$C$40:$AH$40,0)), IFERROR(INDEX('Drop Point'!$B$13:$M$36,MATCH(E$97,'Drop Point'!$B$13:$B$37,0),MATCH($Q86,'Drop Point'!$B$41:$M$41,0)),
IFERROR(INDEX('Control - Grain dscf'!$C$11:$N$27,MATCH(E$97,'Control - Grain dscf'!$B$11:$B$27,0),MATCH($Q86,'Control - Grain dscf'!$C$32:$N$32,0)),
IFERROR(INDEX('Control - Alt'!$C$9:$O$27,MATCH(E$97,'Control - Alt'!$B$9:$B$27,0),MATCH($Q86,'Control - Alt'!$C$32:$O$32,0)),
IFERROR(INDEX(Stockpile!$C$10:$M$26,MATCH(E$97,Stockpile!$B$10:$B$26,0),MATCH($Q86,Stockpile!$C$30:$M$30,0)),
IFERROR(INDEX('Asphalt Silo &amp; Unloading'!$D$10:$M$44,MATCH(E$97,'Asphalt Silo &amp; Unloading'!$B$10:$B$44,0),MATCH($Q86,'Asphalt Silo &amp; Unloading'!$D$49:$M$49,0)),""))))))</f>
        <v/>
      </c>
      <c r="F86" s="590" t="str">
        <f>IFERROR(INDEX('Material Handling'!$C$10:$AH$33,MATCH(F$97,Material_Handling[Data],0),MATCH($Q86,'Material Handling'!$C$40:$AH$40,0)), IFERROR(INDEX('Drop Point'!$B$13:$M$36,MATCH(F$97,'Drop Point'!$B$13:$B$37,0),MATCH($Q86,'Drop Point'!$B$41:$M$41,0)),
IFERROR(INDEX('Control - Grain dscf'!$C$11:$N$27,MATCH(F$97,'Control - Grain dscf'!$B$11:$B$27,0),MATCH($Q86,'Control - Grain dscf'!$C$32:$N$32,0)),
IFERROR(INDEX('Control - Alt'!$C$9:$O$27,MATCH(F$97,'Control - Alt'!$B$9:$B$27,0),MATCH($Q86,'Control - Alt'!$C$32:$O$32,0)),
IFERROR(INDEX(Stockpile!$C$10:$M$26,MATCH(F$97,Stockpile!$B$10:$B$26,0),MATCH($Q86,Stockpile!$C$30:$M$30,0)),
IFERROR(INDEX('Asphalt Silo &amp; Unloading'!$D$10:$M$44,MATCH(F$97,'Asphalt Silo &amp; Unloading'!$B$10:$B$44,0),MATCH($Q86,'Asphalt Silo &amp; Unloading'!$D$49:$M$49,0)),""))))))</f>
        <v/>
      </c>
      <c r="G86" s="590" t="str">
        <f>IFERROR(INDEX('Material Handling'!$C$10:$AH$33,MATCH(G$97,Material_Handling[Data],0),MATCH($Q86,'Material Handling'!$C$40:$AH$40,0)), IFERROR(INDEX('Drop Point'!$B$13:$M$36,MATCH(G$97,'Drop Point'!$B$13:$B$37,0),MATCH($Q86,'Drop Point'!$B$41:$M$41,0)),
IFERROR(INDEX('Control - Grain dscf'!$C$11:$N$27,MATCH(G$97,'Control - Grain dscf'!$B$11:$B$27,0),MATCH($Q86,'Control - Grain dscf'!$C$32:$N$32,0)),
IFERROR(INDEX('Control - Alt'!$C$9:$O$27,MATCH(G$97,'Control - Alt'!$B$9:$B$27,0),MATCH($Q86,'Control - Alt'!$C$32:$O$32,0)),
IFERROR(INDEX(Stockpile!$C$10:$M$26,MATCH(G$97,Stockpile!$B$10:$B$26,0),MATCH($Q86,Stockpile!$C$30:$M$30,0)),
IFERROR(INDEX('Asphalt Silo &amp; Unloading'!$D$10:$M$44,MATCH(G$97,'Asphalt Silo &amp; Unloading'!$B$10:$B$44,0),MATCH($Q86,'Asphalt Silo &amp; Unloading'!$D$49:$M$49,0)),""))))))</f>
        <v/>
      </c>
      <c r="H86" s="590" t="str">
        <f>IFERROR(INDEX('Material Handling'!$C$10:$AH$33,MATCH(H$97,Material_Handling[Data],0),MATCH($Q86,'Material Handling'!$C$40:$AH$40,0)), IFERROR(INDEX('Drop Point'!$B$13:$M$36,MATCH(H$97,'Drop Point'!$B$13:$B$37,0),MATCH($Q86,'Drop Point'!$B$41:$M$41,0)),
IFERROR(INDEX('Control - Grain dscf'!$C$11:$N$27,MATCH(H$97,'Control - Grain dscf'!$B$11:$B$27,0),MATCH($Q86,'Control - Grain dscf'!$C$32:$N$32,0)),
IFERROR(INDEX('Control - Alt'!$C$9:$O$27,MATCH(H$97,'Control - Alt'!$B$9:$B$27,0),MATCH($Q86,'Control - Alt'!$C$32:$O$32,0)),
IFERROR(INDEX(Stockpile!$C$10:$M$26,MATCH(H$97,Stockpile!$B$10:$B$26,0),MATCH($Q86,Stockpile!$C$30:$M$30,0)),
IFERROR(INDEX('Asphalt Silo &amp; Unloading'!$D$10:$M$44,MATCH(H$97,'Asphalt Silo &amp; Unloading'!$B$10:$B$44,0),MATCH($Q86,'Asphalt Silo &amp; Unloading'!$D$49:$M$49,0)),""))))))</f>
        <v/>
      </c>
      <c r="I86" s="590" t="str">
        <f>IFERROR(INDEX('Material Handling'!$C$10:$AH$33,MATCH(I$97,Material_Handling[Data],0),MATCH($Q86,'Material Handling'!$C$40:$AH$40,0)), IFERROR(INDEX('Drop Point'!$B$13:$M$36,MATCH(I$97,'Drop Point'!$B$13:$B$37,0),MATCH($Q86,'Drop Point'!$B$41:$M$41,0)),
IFERROR(INDEX('Control - Grain dscf'!$C$11:$N$27,MATCH(I$97,'Control - Grain dscf'!$B$11:$B$27,0),MATCH($Q86,'Control - Grain dscf'!$C$32:$N$32,0)),
IFERROR(INDEX('Control - Alt'!$C$9:$O$27,MATCH(I$97,'Control - Alt'!$B$9:$B$27,0),MATCH($Q86,'Control - Alt'!$C$32:$O$32,0)),
IFERROR(INDEX(Stockpile!$C$10:$M$26,MATCH(I$97,Stockpile!$B$10:$B$26,0),MATCH($Q86,Stockpile!$C$30:$M$30,0)),
IFERROR(INDEX('Asphalt Silo &amp; Unloading'!$D$10:$M$44,MATCH(I$97,'Asphalt Silo &amp; Unloading'!$B$10:$B$44,0),MATCH($Q86,'Asphalt Silo &amp; Unloading'!$D$49:$M$49,0)),""))))))</f>
        <v/>
      </c>
      <c r="J86" s="590" t="str">
        <f>IFERROR(INDEX('Material Handling'!$C$10:$AH$33,MATCH(J$97,Material_Handling[Data],0),MATCH($Q86,'Material Handling'!$C$40:$AH$40,0)), IFERROR(INDEX('Drop Point'!$B$13:$M$36,MATCH(J$97,'Drop Point'!$B$13:$B$37,0),MATCH($Q86,'Drop Point'!$B$41:$M$41,0)),
IFERROR(INDEX('Control - Grain dscf'!$C$11:$N$27,MATCH(J$97,'Control - Grain dscf'!$B$11:$B$27,0),MATCH($Q86,'Control - Grain dscf'!$C$32:$N$32,0)),
IFERROR(INDEX('Control - Alt'!$C$9:$O$27,MATCH(J$97,'Control - Alt'!$B$9:$B$27,0),MATCH($Q86,'Control - Alt'!$C$32:$O$32,0)),
IFERROR(INDEX(Stockpile!$C$10:$M$26,MATCH(J$97,Stockpile!$B$10:$B$26,0),MATCH($Q86,Stockpile!$C$30:$M$30,0)),
IFERROR(INDEX('Asphalt Silo &amp; Unloading'!$D$10:$M$44,MATCH(J$97,'Asphalt Silo &amp; Unloading'!$B$10:$B$44,0),MATCH($Q86,'Asphalt Silo &amp; Unloading'!$D$49:$M$49,0)),""))))))</f>
        <v/>
      </c>
      <c r="K86" s="590" t="str">
        <f>IFERROR(INDEX('Material Handling'!$C$10:$AH$33,MATCH(K$97,Material_Handling[Data],0),MATCH($Q86,'Material Handling'!$C$40:$AH$40,0)), IFERROR(INDEX('Drop Point'!$B$13:$M$36,MATCH(K$97,'Drop Point'!$B$13:$B$37,0),MATCH($Q86,'Drop Point'!$B$41:$M$41,0)),
IFERROR(INDEX('Control - Grain dscf'!$C$11:$N$27,MATCH(K$97,'Control - Grain dscf'!$B$11:$B$27,0),MATCH($Q86,'Control - Grain dscf'!$C$32:$N$32,0)),
IFERROR(INDEX('Control - Alt'!$C$9:$O$27,MATCH(K$97,'Control - Alt'!$B$9:$B$27,0),MATCH($Q86,'Control - Alt'!$C$32:$O$32,0)),
IFERROR(INDEX(Stockpile!$C$10:$M$26,MATCH(K$97,Stockpile!$B$10:$B$26,0),MATCH($Q86,Stockpile!$C$30:$M$30,0)),
IFERROR(INDEX('Asphalt Silo &amp; Unloading'!$D$10:$M$44,MATCH(K$97,'Asphalt Silo &amp; Unloading'!$B$10:$B$44,0),MATCH($Q86,'Asphalt Silo &amp; Unloading'!$D$49:$M$49,0)),""))))))</f>
        <v/>
      </c>
      <c r="L86" s="590" t="str">
        <f>IFERROR(INDEX('Material Handling'!$C$10:$AH$33,MATCH(L$97,Material_Handling[Data],0),MATCH($Q86,'Material Handling'!$C$40:$AH$40,0)), IFERROR(INDEX('Drop Point'!$B$13:$M$36,MATCH(L$97,'Drop Point'!$B$13:$B$37,0),MATCH($Q86,'Drop Point'!$B$41:$M$41,0)),
IFERROR(INDEX('Control - Grain dscf'!$C$11:$N$27,MATCH(L$97,'Control - Grain dscf'!$B$11:$B$27,0),MATCH($Q86,'Control - Grain dscf'!$C$32:$N$32,0)),
IFERROR(INDEX('Control - Alt'!$C$9:$O$27,MATCH(L$97,'Control - Alt'!$B$9:$B$27,0),MATCH($Q86,'Control - Alt'!$C$32:$O$32,0)),
IFERROR(INDEX(Stockpile!$C$10:$M$26,MATCH(L$97,Stockpile!$B$10:$B$26,0),MATCH($Q86,Stockpile!$C$30:$M$30,0)),
IFERROR(INDEX('Asphalt Silo &amp; Unloading'!$D$10:$M$44,MATCH(L$97,'Asphalt Silo &amp; Unloading'!$B$10:$B$44,0),MATCH($Q86,'Asphalt Silo &amp; Unloading'!$D$49:$M$49,0)),""))))))</f>
        <v/>
      </c>
      <c r="M86" s="590" t="str">
        <f>IFERROR(INDEX('Material Handling'!$C$10:$AH$33,MATCH(M$97,Material_Handling[Data],0),MATCH($Q86,'Material Handling'!$C$40:$AH$40,0)), IFERROR(INDEX('Drop Point'!$B$13:$M$36,MATCH(M$97,'Drop Point'!$B$13:$B$37,0),MATCH($Q86,'Drop Point'!$B$41:$M$41,0)),
IFERROR(INDEX('Control - Grain dscf'!$C$11:$N$27,MATCH(M$97,'Control - Grain dscf'!$B$11:$B$27,0),MATCH($Q86,'Control - Grain dscf'!$C$32:$N$32,0)),
IFERROR(INDEX('Control - Alt'!$C$9:$O$27,MATCH(M$97,'Control - Alt'!$B$9:$B$27,0),MATCH($Q86,'Control - Alt'!$C$32:$O$32,0)),
IFERROR(INDEX(Stockpile!$C$10:$M$26,MATCH(M$97,Stockpile!$B$10:$B$26,0),MATCH($Q86,Stockpile!$C$30:$M$30,0)),
IFERROR(INDEX('Asphalt Silo &amp; Unloading'!$D$10:$M$44,MATCH(M$97,'Asphalt Silo &amp; Unloading'!$B$10:$B$44,0),MATCH($Q86,'Asphalt Silo &amp; Unloading'!$D$49:$M$49,0)),""))))))</f>
        <v/>
      </c>
      <c r="N86" s="590" t="str">
        <f>IFERROR(INDEX('Material Handling'!$C$10:$AH$33,MATCH(N$97,Material_Handling[Data],0),MATCH($Q86,'Material Handling'!$C$40:$AH$40,0)), IFERROR(INDEX('Drop Point'!$B$13:$M$36,MATCH(N$97,'Drop Point'!$B$13:$B$37,0),MATCH($Q86,'Drop Point'!$B$41:$M$41,0)),
IFERROR(INDEX('Control - Grain dscf'!$C$11:$N$27,MATCH(N$97,'Control - Grain dscf'!$B$11:$B$27,0),MATCH($Q86,'Control - Grain dscf'!$C$32:$N$32,0)),
IFERROR(INDEX('Control - Alt'!$C$9:$O$27,MATCH(N$97,'Control - Alt'!$B$9:$B$27,0),MATCH($Q86,'Control - Alt'!$C$32:$O$32,0)),
IFERROR(INDEX(Stockpile!$C$10:$M$26,MATCH(N$97,Stockpile!$B$10:$B$26,0),MATCH($Q86,Stockpile!$C$30:$M$30,0)),
IFERROR(INDEX('Asphalt Silo &amp; Unloading'!$D$10:$M$44,MATCH(N$97,'Asphalt Silo &amp; Unloading'!$B$10:$B$44,0),MATCH($Q86,'Asphalt Silo &amp; Unloading'!$D$49:$M$49,0)),""))))))</f>
        <v/>
      </c>
      <c r="O86" s="591" t="str">
        <f>IFERROR(INDEX('Material Handling'!$C$10:$AH$33,MATCH(O$97,Material_Handling[Data],0),MATCH($Q86,'Material Handling'!$C$40:$AH$40,0)), IFERROR(INDEX('Drop Point'!$B$13:$M$36,MATCH(O$97,'Drop Point'!$B$13:$B$37,0),MATCH($Q86,'Drop Point'!$B$41:$M$41,0)),
IFERROR(INDEX('Control - Grain dscf'!$C$11:$N$27,MATCH(O$97,'Control - Grain dscf'!$B$11:$B$27,0),MATCH($Q86,'Control - Grain dscf'!$C$32:$N$32,0)),
IFERROR(INDEX('Control - Alt'!$C$9:$O$27,MATCH(O$97,'Control - Alt'!$B$9:$B$27,0),MATCH($Q86,'Control - Alt'!$C$32:$O$32,0)),
IFERROR(INDEX(Stockpile!$C$10:$M$26,MATCH(O$97,Stockpile!$B$10:$B$26,0),MATCH($Q86,Stockpile!$C$30:$M$30,0)),
IFERROR(INDEX('Asphalt Silo &amp; Unloading'!$D$10:$M$44,MATCH(O$97,'Asphalt Silo &amp; Unloading'!$B$10:$B$44,0),MATCH($Q86,'Asphalt Silo &amp; Unloading'!$D$49:$M$49,0)),""))))))</f>
        <v/>
      </c>
      <c r="Q86" s="131">
        <f t="shared" si="2"/>
        <v>78</v>
      </c>
    </row>
    <row r="87" spans="1:17" ht="20.100000000000001" customHeight="1">
      <c r="A87" s="293" t="str">
        <f>IFERROR(INDEX('Material Handling'!$C$10:$AH$33,MATCH(A$97,Material_Handling[Data],0),MATCH($Q87,'Material Handling'!$C$40:$AH$40,0)), IFERROR(INDEX('Drop Point'!$B$13:$M$36,MATCH(A$97,'Drop Point'!$B$13:$B$37,0),MATCH($Q87,'Drop Point'!$B$41:$M$41,0)),
IFERROR(INDEX('Control - Grain dscf'!$C$11:$N$27,MATCH(A$97,'Control - Grain dscf'!$B$11:$B$27,0),MATCH($Q87,'Control - Grain dscf'!$C$32:$N$32,0)),
IFERROR(INDEX('Control - Alt'!$C$9:$O$27,MATCH(A$97,'Control - Alt'!$B$9:$B$27,0),MATCH($Q87,'Control - Alt'!$C$32:$O$32,0)),
IFERROR(INDEX(Stockpile!$C$10:$M$26,MATCH(A$97,Stockpile!$B$10:$B$26,0),MATCH($Q87,Stockpile!$C$30:$M$30,0)),
IFERROR(INDEX('Asphalt Silo &amp; Unloading'!$D$10:$M$44,MATCH(A$97,'Asphalt Silo &amp; Unloading'!$B$10:$B$44,0),MATCH($Q87,'Asphalt Silo &amp; Unloading'!$D$49:$M$49,0)),""))))))</f>
        <v/>
      </c>
      <c r="B87" s="135" t="str">
        <f>IFERROR(INDEX('Material Handling'!$C$10:$AH$33,MATCH(B$97,Material_Handling[Data],0),MATCH($Q87,'Material Handling'!$C$40:$AH$40,0)), IFERROR(INDEX('Drop Point'!$B$13:$M$36,MATCH(B$97,'Drop Point'!$B$13:$B$37,0),MATCH($Q87,'Drop Point'!$B$41:$M$41,0)),
IFERROR(INDEX('Control - Grain dscf'!$C$11:$N$27,MATCH(B$97,'Control - Grain dscf'!$B$11:$B$27,0),MATCH($Q87,'Control - Grain dscf'!$C$32:$N$32,0)),
IFERROR(INDEX('Control - Alt'!$C$9:$O$27,MATCH(B$97,'Control - Alt'!$B$9:$B$27,0),MATCH($Q87,'Control - Alt'!$C$32:$O$32,0)),
IFERROR(INDEX(Stockpile!$C$10:$M$26,MATCH(B$97,Stockpile!$B$10:$B$26,0),MATCH($Q87,Stockpile!$C$30:$M$30,0)),
IFERROR(INDEX('Asphalt Silo &amp; Unloading'!$D$10:$M$44,MATCH(B$97,'Asphalt Silo &amp; Unloading'!$B$10:$B$44,0),MATCH($Q87,'Asphalt Silo &amp; Unloading'!$D$49:$M$49,0)),""))))))</f>
        <v/>
      </c>
      <c r="C87" s="135" t="str">
        <f>IFERROR(INDEX('Material Handling'!$C$10:$AH$33,MATCH(C$97,Material_Handling[Data],0),MATCH($Q87,'Material Handling'!$C$40:$AH$40,0)), IFERROR(INDEX('Drop Point'!$B$13:$M$36,MATCH(C$97,'Drop Point'!$B$13:$B$37,0),MATCH($Q87,'Drop Point'!$B$41:$M$41,0)),
IFERROR(INDEX('Control - Grain dscf'!$C$11:$N$27,MATCH(C$97,'Control - Grain dscf'!$B$11:$B$27,0),MATCH($Q87,'Control - Grain dscf'!$C$32:$N$32,0)),
IFERROR(INDEX('Control - Alt'!$C$9:$O$27,MATCH(C$97,'Control - Alt'!$B$9:$B$27,0),MATCH($Q87,'Control - Alt'!$C$32:$O$32,0)),
IFERROR(INDEX(Stockpile!$C$10:$M$26,MATCH(C$97,Stockpile!$B$10:$B$26,0),MATCH($Q87,Stockpile!$C$30:$M$30,0)),
IFERROR(INDEX('Asphalt Silo &amp; Unloading'!$D$10:$M$44,MATCH(C$97,'Asphalt Silo &amp; Unloading'!$B$10:$B$44,0),MATCH($Q87,'Asphalt Silo &amp; Unloading'!$D$49:$M$49,0)),""))))))</f>
        <v/>
      </c>
      <c r="D87" s="135" t="str">
        <f>IFERROR(INDEX('Material Handling'!$C$10:$AH$33,MATCH(D$97,Material_Handling[Data],0),MATCH($Q87,'Material Handling'!$C$40:$AH$40,0)), IFERROR(INDEX('Drop Point'!$B$13:$M$36,MATCH(D$97,'Drop Point'!$B$13:$B$37,0),MATCH($Q87,'Drop Point'!$B$41:$M$41,0)),
IFERROR(INDEX('Control - Grain dscf'!$C$11:$N$27,MATCH(D$97,'Control - Grain dscf'!$B$11:$B$27,0),MATCH($Q87,'Control - Grain dscf'!$C$32:$N$32,0)),
IFERROR(INDEX('Control - Alt'!$C$9:$O$27,MATCH(D$97,'Control - Alt'!$B$9:$B$27,0),MATCH($Q87,'Control - Alt'!$C$32:$O$32,0)),
IFERROR(INDEX(Stockpile!$C$10:$M$26,MATCH(D$97,Stockpile!$B$10:$B$26,0),MATCH($Q87,Stockpile!$C$30:$M$30,0)),
IFERROR(INDEX('Asphalt Silo &amp; Unloading'!$D$10:$M$44,MATCH(D$97,'Asphalt Silo &amp; Unloading'!$B$10:$B$44,0),MATCH($Q87,'Asphalt Silo &amp; Unloading'!$D$49:$M$49,0)),""))))))</f>
        <v/>
      </c>
      <c r="E87" s="620" t="str">
        <f>IFERROR(INDEX('Material Handling'!$C$10:$AH$33,MATCH(E$97,Material_Handling[Data],0),MATCH($Q87,'Material Handling'!$C$40:$AH$40,0)), IFERROR(INDEX('Drop Point'!$B$13:$M$36,MATCH(E$97,'Drop Point'!$B$13:$B$37,0),MATCH($Q87,'Drop Point'!$B$41:$M$41,0)),
IFERROR(INDEX('Control - Grain dscf'!$C$11:$N$27,MATCH(E$97,'Control - Grain dscf'!$B$11:$B$27,0),MATCH($Q87,'Control - Grain dscf'!$C$32:$N$32,0)),
IFERROR(INDEX('Control - Alt'!$C$9:$O$27,MATCH(E$97,'Control - Alt'!$B$9:$B$27,0),MATCH($Q87,'Control - Alt'!$C$32:$O$32,0)),
IFERROR(INDEX(Stockpile!$C$10:$M$26,MATCH(E$97,Stockpile!$B$10:$B$26,0),MATCH($Q87,Stockpile!$C$30:$M$30,0)),
IFERROR(INDEX('Asphalt Silo &amp; Unloading'!$D$10:$M$44,MATCH(E$97,'Asphalt Silo &amp; Unloading'!$B$10:$B$44,0),MATCH($Q87,'Asphalt Silo &amp; Unloading'!$D$49:$M$49,0)),""))))))</f>
        <v/>
      </c>
      <c r="F87" s="590" t="str">
        <f>IFERROR(INDEX('Material Handling'!$C$10:$AH$33,MATCH(F$97,Material_Handling[Data],0),MATCH($Q87,'Material Handling'!$C$40:$AH$40,0)), IFERROR(INDEX('Drop Point'!$B$13:$M$36,MATCH(F$97,'Drop Point'!$B$13:$B$37,0),MATCH($Q87,'Drop Point'!$B$41:$M$41,0)),
IFERROR(INDEX('Control - Grain dscf'!$C$11:$N$27,MATCH(F$97,'Control - Grain dscf'!$B$11:$B$27,0),MATCH($Q87,'Control - Grain dscf'!$C$32:$N$32,0)),
IFERROR(INDEX('Control - Alt'!$C$9:$O$27,MATCH(F$97,'Control - Alt'!$B$9:$B$27,0),MATCH($Q87,'Control - Alt'!$C$32:$O$32,0)),
IFERROR(INDEX(Stockpile!$C$10:$M$26,MATCH(F$97,Stockpile!$B$10:$B$26,0),MATCH($Q87,Stockpile!$C$30:$M$30,0)),
IFERROR(INDEX('Asphalt Silo &amp; Unloading'!$D$10:$M$44,MATCH(F$97,'Asphalt Silo &amp; Unloading'!$B$10:$B$44,0),MATCH($Q87,'Asphalt Silo &amp; Unloading'!$D$49:$M$49,0)),""))))))</f>
        <v/>
      </c>
      <c r="G87" s="590" t="str">
        <f>IFERROR(INDEX('Material Handling'!$C$10:$AH$33,MATCH(G$97,Material_Handling[Data],0),MATCH($Q87,'Material Handling'!$C$40:$AH$40,0)), IFERROR(INDEX('Drop Point'!$B$13:$M$36,MATCH(G$97,'Drop Point'!$B$13:$B$37,0),MATCH($Q87,'Drop Point'!$B$41:$M$41,0)),
IFERROR(INDEX('Control - Grain dscf'!$C$11:$N$27,MATCH(G$97,'Control - Grain dscf'!$B$11:$B$27,0),MATCH($Q87,'Control - Grain dscf'!$C$32:$N$32,0)),
IFERROR(INDEX('Control - Alt'!$C$9:$O$27,MATCH(G$97,'Control - Alt'!$B$9:$B$27,0),MATCH($Q87,'Control - Alt'!$C$32:$O$32,0)),
IFERROR(INDEX(Stockpile!$C$10:$M$26,MATCH(G$97,Stockpile!$B$10:$B$26,0),MATCH($Q87,Stockpile!$C$30:$M$30,0)),
IFERROR(INDEX('Asphalt Silo &amp; Unloading'!$D$10:$M$44,MATCH(G$97,'Asphalt Silo &amp; Unloading'!$B$10:$B$44,0),MATCH($Q87,'Asphalt Silo &amp; Unloading'!$D$49:$M$49,0)),""))))))</f>
        <v/>
      </c>
      <c r="H87" s="590" t="str">
        <f>IFERROR(INDEX('Material Handling'!$C$10:$AH$33,MATCH(H$97,Material_Handling[Data],0),MATCH($Q87,'Material Handling'!$C$40:$AH$40,0)), IFERROR(INDEX('Drop Point'!$B$13:$M$36,MATCH(H$97,'Drop Point'!$B$13:$B$37,0),MATCH($Q87,'Drop Point'!$B$41:$M$41,0)),
IFERROR(INDEX('Control - Grain dscf'!$C$11:$N$27,MATCH(H$97,'Control - Grain dscf'!$B$11:$B$27,0),MATCH($Q87,'Control - Grain dscf'!$C$32:$N$32,0)),
IFERROR(INDEX('Control - Alt'!$C$9:$O$27,MATCH(H$97,'Control - Alt'!$B$9:$B$27,0),MATCH($Q87,'Control - Alt'!$C$32:$O$32,0)),
IFERROR(INDEX(Stockpile!$C$10:$M$26,MATCH(H$97,Stockpile!$B$10:$B$26,0),MATCH($Q87,Stockpile!$C$30:$M$30,0)),
IFERROR(INDEX('Asphalt Silo &amp; Unloading'!$D$10:$M$44,MATCH(H$97,'Asphalt Silo &amp; Unloading'!$B$10:$B$44,0),MATCH($Q87,'Asphalt Silo &amp; Unloading'!$D$49:$M$49,0)),""))))))</f>
        <v/>
      </c>
      <c r="I87" s="590" t="str">
        <f>IFERROR(INDEX('Material Handling'!$C$10:$AH$33,MATCH(I$97,Material_Handling[Data],0),MATCH($Q87,'Material Handling'!$C$40:$AH$40,0)), IFERROR(INDEX('Drop Point'!$B$13:$M$36,MATCH(I$97,'Drop Point'!$B$13:$B$37,0),MATCH($Q87,'Drop Point'!$B$41:$M$41,0)),
IFERROR(INDEX('Control - Grain dscf'!$C$11:$N$27,MATCH(I$97,'Control - Grain dscf'!$B$11:$B$27,0),MATCH($Q87,'Control - Grain dscf'!$C$32:$N$32,0)),
IFERROR(INDEX('Control - Alt'!$C$9:$O$27,MATCH(I$97,'Control - Alt'!$B$9:$B$27,0),MATCH($Q87,'Control - Alt'!$C$32:$O$32,0)),
IFERROR(INDEX(Stockpile!$C$10:$M$26,MATCH(I$97,Stockpile!$B$10:$B$26,0),MATCH($Q87,Stockpile!$C$30:$M$30,0)),
IFERROR(INDEX('Asphalt Silo &amp; Unloading'!$D$10:$M$44,MATCH(I$97,'Asphalt Silo &amp; Unloading'!$B$10:$B$44,0),MATCH($Q87,'Asphalt Silo &amp; Unloading'!$D$49:$M$49,0)),""))))))</f>
        <v/>
      </c>
      <c r="J87" s="590" t="str">
        <f>IFERROR(INDEX('Material Handling'!$C$10:$AH$33,MATCH(J$97,Material_Handling[Data],0),MATCH($Q87,'Material Handling'!$C$40:$AH$40,0)), IFERROR(INDEX('Drop Point'!$B$13:$M$36,MATCH(J$97,'Drop Point'!$B$13:$B$37,0),MATCH($Q87,'Drop Point'!$B$41:$M$41,0)),
IFERROR(INDEX('Control - Grain dscf'!$C$11:$N$27,MATCH(J$97,'Control - Grain dscf'!$B$11:$B$27,0),MATCH($Q87,'Control - Grain dscf'!$C$32:$N$32,0)),
IFERROR(INDEX('Control - Alt'!$C$9:$O$27,MATCH(J$97,'Control - Alt'!$B$9:$B$27,0),MATCH($Q87,'Control - Alt'!$C$32:$O$32,0)),
IFERROR(INDEX(Stockpile!$C$10:$M$26,MATCH(J$97,Stockpile!$B$10:$B$26,0),MATCH($Q87,Stockpile!$C$30:$M$30,0)),
IFERROR(INDEX('Asphalt Silo &amp; Unloading'!$D$10:$M$44,MATCH(J$97,'Asphalt Silo &amp; Unloading'!$B$10:$B$44,0),MATCH($Q87,'Asphalt Silo &amp; Unloading'!$D$49:$M$49,0)),""))))))</f>
        <v/>
      </c>
      <c r="K87" s="590" t="str">
        <f>IFERROR(INDEX('Material Handling'!$C$10:$AH$33,MATCH(K$97,Material_Handling[Data],0),MATCH($Q87,'Material Handling'!$C$40:$AH$40,0)), IFERROR(INDEX('Drop Point'!$B$13:$M$36,MATCH(K$97,'Drop Point'!$B$13:$B$37,0),MATCH($Q87,'Drop Point'!$B$41:$M$41,0)),
IFERROR(INDEX('Control - Grain dscf'!$C$11:$N$27,MATCH(K$97,'Control - Grain dscf'!$B$11:$B$27,0),MATCH($Q87,'Control - Grain dscf'!$C$32:$N$32,0)),
IFERROR(INDEX('Control - Alt'!$C$9:$O$27,MATCH(K$97,'Control - Alt'!$B$9:$B$27,0),MATCH($Q87,'Control - Alt'!$C$32:$O$32,0)),
IFERROR(INDEX(Stockpile!$C$10:$M$26,MATCH(K$97,Stockpile!$B$10:$B$26,0),MATCH($Q87,Stockpile!$C$30:$M$30,0)),
IFERROR(INDEX('Asphalt Silo &amp; Unloading'!$D$10:$M$44,MATCH(K$97,'Asphalt Silo &amp; Unloading'!$B$10:$B$44,0),MATCH($Q87,'Asphalt Silo &amp; Unloading'!$D$49:$M$49,0)),""))))))</f>
        <v/>
      </c>
      <c r="L87" s="590" t="str">
        <f>IFERROR(INDEX('Material Handling'!$C$10:$AH$33,MATCH(L$97,Material_Handling[Data],0),MATCH($Q87,'Material Handling'!$C$40:$AH$40,0)), IFERROR(INDEX('Drop Point'!$B$13:$M$36,MATCH(L$97,'Drop Point'!$B$13:$B$37,0),MATCH($Q87,'Drop Point'!$B$41:$M$41,0)),
IFERROR(INDEX('Control - Grain dscf'!$C$11:$N$27,MATCH(L$97,'Control - Grain dscf'!$B$11:$B$27,0),MATCH($Q87,'Control - Grain dscf'!$C$32:$N$32,0)),
IFERROR(INDEX('Control - Alt'!$C$9:$O$27,MATCH(L$97,'Control - Alt'!$B$9:$B$27,0),MATCH($Q87,'Control - Alt'!$C$32:$O$32,0)),
IFERROR(INDEX(Stockpile!$C$10:$M$26,MATCH(L$97,Stockpile!$B$10:$B$26,0),MATCH($Q87,Stockpile!$C$30:$M$30,0)),
IFERROR(INDEX('Asphalt Silo &amp; Unloading'!$D$10:$M$44,MATCH(L$97,'Asphalt Silo &amp; Unloading'!$B$10:$B$44,0),MATCH($Q87,'Asphalt Silo &amp; Unloading'!$D$49:$M$49,0)),""))))))</f>
        <v/>
      </c>
      <c r="M87" s="590" t="str">
        <f>IFERROR(INDEX('Material Handling'!$C$10:$AH$33,MATCH(M$97,Material_Handling[Data],0),MATCH($Q87,'Material Handling'!$C$40:$AH$40,0)), IFERROR(INDEX('Drop Point'!$B$13:$M$36,MATCH(M$97,'Drop Point'!$B$13:$B$37,0),MATCH($Q87,'Drop Point'!$B$41:$M$41,0)),
IFERROR(INDEX('Control - Grain dscf'!$C$11:$N$27,MATCH(M$97,'Control - Grain dscf'!$B$11:$B$27,0),MATCH($Q87,'Control - Grain dscf'!$C$32:$N$32,0)),
IFERROR(INDEX('Control - Alt'!$C$9:$O$27,MATCH(M$97,'Control - Alt'!$B$9:$B$27,0),MATCH($Q87,'Control - Alt'!$C$32:$O$32,0)),
IFERROR(INDEX(Stockpile!$C$10:$M$26,MATCH(M$97,Stockpile!$B$10:$B$26,0),MATCH($Q87,Stockpile!$C$30:$M$30,0)),
IFERROR(INDEX('Asphalt Silo &amp; Unloading'!$D$10:$M$44,MATCH(M$97,'Asphalt Silo &amp; Unloading'!$B$10:$B$44,0),MATCH($Q87,'Asphalt Silo &amp; Unloading'!$D$49:$M$49,0)),""))))))</f>
        <v/>
      </c>
      <c r="N87" s="590" t="str">
        <f>IFERROR(INDEX('Material Handling'!$C$10:$AH$33,MATCH(N$97,Material_Handling[Data],0),MATCH($Q87,'Material Handling'!$C$40:$AH$40,0)), IFERROR(INDEX('Drop Point'!$B$13:$M$36,MATCH(N$97,'Drop Point'!$B$13:$B$37,0),MATCH($Q87,'Drop Point'!$B$41:$M$41,0)),
IFERROR(INDEX('Control - Grain dscf'!$C$11:$N$27,MATCH(N$97,'Control - Grain dscf'!$B$11:$B$27,0),MATCH($Q87,'Control - Grain dscf'!$C$32:$N$32,0)),
IFERROR(INDEX('Control - Alt'!$C$9:$O$27,MATCH(N$97,'Control - Alt'!$B$9:$B$27,0),MATCH($Q87,'Control - Alt'!$C$32:$O$32,0)),
IFERROR(INDEX(Stockpile!$C$10:$M$26,MATCH(N$97,Stockpile!$B$10:$B$26,0),MATCH($Q87,Stockpile!$C$30:$M$30,0)),
IFERROR(INDEX('Asphalt Silo &amp; Unloading'!$D$10:$M$44,MATCH(N$97,'Asphalt Silo &amp; Unloading'!$B$10:$B$44,0),MATCH($Q87,'Asphalt Silo &amp; Unloading'!$D$49:$M$49,0)),""))))))</f>
        <v/>
      </c>
      <c r="O87" s="591" t="str">
        <f>IFERROR(INDEX('Material Handling'!$C$10:$AH$33,MATCH(O$97,Material_Handling[Data],0),MATCH($Q87,'Material Handling'!$C$40:$AH$40,0)), IFERROR(INDEX('Drop Point'!$B$13:$M$36,MATCH(O$97,'Drop Point'!$B$13:$B$37,0),MATCH($Q87,'Drop Point'!$B$41:$M$41,0)),
IFERROR(INDEX('Control - Grain dscf'!$C$11:$N$27,MATCH(O$97,'Control - Grain dscf'!$B$11:$B$27,0),MATCH($Q87,'Control - Grain dscf'!$C$32:$N$32,0)),
IFERROR(INDEX('Control - Alt'!$C$9:$O$27,MATCH(O$97,'Control - Alt'!$B$9:$B$27,0),MATCH($Q87,'Control - Alt'!$C$32:$O$32,0)),
IFERROR(INDEX(Stockpile!$C$10:$M$26,MATCH(O$97,Stockpile!$B$10:$B$26,0),MATCH($Q87,Stockpile!$C$30:$M$30,0)),
IFERROR(INDEX('Asphalt Silo &amp; Unloading'!$D$10:$M$44,MATCH(O$97,'Asphalt Silo &amp; Unloading'!$B$10:$B$44,0),MATCH($Q87,'Asphalt Silo &amp; Unloading'!$D$49:$M$49,0)),""))))))</f>
        <v/>
      </c>
      <c r="Q87" s="131">
        <f t="shared" si="2"/>
        <v>79</v>
      </c>
    </row>
    <row r="88" spans="1:17" ht="20.100000000000001" customHeight="1">
      <c r="A88" s="293" t="str">
        <f>IFERROR(INDEX('Material Handling'!$C$10:$AH$33,MATCH(A$97,Material_Handling[Data],0),MATCH($Q88,'Material Handling'!$C$40:$AH$40,0)), IFERROR(INDEX('Drop Point'!$B$13:$M$36,MATCH(A$97,'Drop Point'!$B$13:$B$37,0),MATCH($Q88,'Drop Point'!$B$41:$M$41,0)),
IFERROR(INDEX('Control - Grain dscf'!$C$11:$N$27,MATCH(A$97,'Control - Grain dscf'!$B$11:$B$27,0),MATCH($Q88,'Control - Grain dscf'!$C$32:$N$32,0)),
IFERROR(INDEX('Control - Alt'!$C$9:$O$27,MATCH(A$97,'Control - Alt'!$B$9:$B$27,0),MATCH($Q88,'Control - Alt'!$C$32:$O$32,0)),
IFERROR(INDEX(Stockpile!$C$10:$M$26,MATCH(A$97,Stockpile!$B$10:$B$26,0),MATCH($Q88,Stockpile!$C$30:$M$30,0)),
IFERROR(INDEX('Asphalt Silo &amp; Unloading'!$D$10:$M$44,MATCH(A$97,'Asphalt Silo &amp; Unloading'!$B$10:$B$44,0),MATCH($Q88,'Asphalt Silo &amp; Unloading'!$D$49:$M$49,0)),""))))))</f>
        <v/>
      </c>
      <c r="B88" s="135" t="str">
        <f>IFERROR(INDEX('Material Handling'!$C$10:$AH$33,MATCH(B$97,Material_Handling[Data],0),MATCH($Q88,'Material Handling'!$C$40:$AH$40,0)), IFERROR(INDEX('Drop Point'!$B$13:$M$36,MATCH(B$97,'Drop Point'!$B$13:$B$37,0),MATCH($Q88,'Drop Point'!$B$41:$M$41,0)),
IFERROR(INDEX('Control - Grain dscf'!$C$11:$N$27,MATCH(B$97,'Control - Grain dscf'!$B$11:$B$27,0),MATCH($Q88,'Control - Grain dscf'!$C$32:$N$32,0)),
IFERROR(INDEX('Control - Alt'!$C$9:$O$27,MATCH(B$97,'Control - Alt'!$B$9:$B$27,0),MATCH($Q88,'Control - Alt'!$C$32:$O$32,0)),
IFERROR(INDEX(Stockpile!$C$10:$M$26,MATCH(B$97,Stockpile!$B$10:$B$26,0),MATCH($Q88,Stockpile!$C$30:$M$30,0)),
IFERROR(INDEX('Asphalt Silo &amp; Unloading'!$D$10:$M$44,MATCH(B$97,'Asphalt Silo &amp; Unloading'!$B$10:$B$44,0),MATCH($Q88,'Asphalt Silo &amp; Unloading'!$D$49:$M$49,0)),""))))))</f>
        <v/>
      </c>
      <c r="C88" s="135" t="str">
        <f>IFERROR(INDEX('Material Handling'!$C$10:$AH$33,MATCH(C$97,Material_Handling[Data],0),MATCH($Q88,'Material Handling'!$C$40:$AH$40,0)), IFERROR(INDEX('Drop Point'!$B$13:$M$36,MATCH(C$97,'Drop Point'!$B$13:$B$37,0),MATCH($Q88,'Drop Point'!$B$41:$M$41,0)),
IFERROR(INDEX('Control - Grain dscf'!$C$11:$N$27,MATCH(C$97,'Control - Grain dscf'!$B$11:$B$27,0),MATCH($Q88,'Control - Grain dscf'!$C$32:$N$32,0)),
IFERROR(INDEX('Control - Alt'!$C$9:$O$27,MATCH(C$97,'Control - Alt'!$B$9:$B$27,0),MATCH($Q88,'Control - Alt'!$C$32:$O$32,0)),
IFERROR(INDEX(Stockpile!$C$10:$M$26,MATCH(C$97,Stockpile!$B$10:$B$26,0),MATCH($Q88,Stockpile!$C$30:$M$30,0)),
IFERROR(INDEX('Asphalt Silo &amp; Unloading'!$D$10:$M$44,MATCH(C$97,'Asphalt Silo &amp; Unloading'!$B$10:$B$44,0),MATCH($Q88,'Asphalt Silo &amp; Unloading'!$D$49:$M$49,0)),""))))))</f>
        <v/>
      </c>
      <c r="D88" s="135" t="str">
        <f>IFERROR(INDEX('Material Handling'!$C$10:$AH$33,MATCH(D$97,Material_Handling[Data],0),MATCH($Q88,'Material Handling'!$C$40:$AH$40,0)), IFERROR(INDEX('Drop Point'!$B$13:$M$36,MATCH(D$97,'Drop Point'!$B$13:$B$37,0),MATCH($Q88,'Drop Point'!$B$41:$M$41,0)),
IFERROR(INDEX('Control - Grain dscf'!$C$11:$N$27,MATCH(D$97,'Control - Grain dscf'!$B$11:$B$27,0),MATCH($Q88,'Control - Grain dscf'!$C$32:$N$32,0)),
IFERROR(INDEX('Control - Alt'!$C$9:$O$27,MATCH(D$97,'Control - Alt'!$B$9:$B$27,0),MATCH($Q88,'Control - Alt'!$C$32:$O$32,0)),
IFERROR(INDEX(Stockpile!$C$10:$M$26,MATCH(D$97,Stockpile!$B$10:$B$26,0),MATCH($Q88,Stockpile!$C$30:$M$30,0)),
IFERROR(INDEX('Asphalt Silo &amp; Unloading'!$D$10:$M$44,MATCH(D$97,'Asphalt Silo &amp; Unloading'!$B$10:$B$44,0),MATCH($Q88,'Asphalt Silo &amp; Unloading'!$D$49:$M$49,0)),""))))))</f>
        <v/>
      </c>
      <c r="E88" s="620" t="str">
        <f>IFERROR(INDEX('Material Handling'!$C$10:$AH$33,MATCH(E$97,Material_Handling[Data],0),MATCH($Q88,'Material Handling'!$C$40:$AH$40,0)), IFERROR(INDEX('Drop Point'!$B$13:$M$36,MATCH(E$97,'Drop Point'!$B$13:$B$37,0),MATCH($Q88,'Drop Point'!$B$41:$M$41,0)),
IFERROR(INDEX('Control - Grain dscf'!$C$11:$N$27,MATCH(E$97,'Control - Grain dscf'!$B$11:$B$27,0),MATCH($Q88,'Control - Grain dscf'!$C$32:$N$32,0)),
IFERROR(INDEX('Control - Alt'!$C$9:$O$27,MATCH(E$97,'Control - Alt'!$B$9:$B$27,0),MATCH($Q88,'Control - Alt'!$C$32:$O$32,0)),
IFERROR(INDEX(Stockpile!$C$10:$M$26,MATCH(E$97,Stockpile!$B$10:$B$26,0),MATCH($Q88,Stockpile!$C$30:$M$30,0)),
IFERROR(INDEX('Asphalt Silo &amp; Unloading'!$D$10:$M$44,MATCH(E$97,'Asphalt Silo &amp; Unloading'!$B$10:$B$44,0),MATCH($Q88,'Asphalt Silo &amp; Unloading'!$D$49:$M$49,0)),""))))))</f>
        <v/>
      </c>
      <c r="F88" s="590" t="str">
        <f>IFERROR(INDEX('Material Handling'!$C$10:$AH$33,MATCH(F$97,Material_Handling[Data],0),MATCH($Q88,'Material Handling'!$C$40:$AH$40,0)), IFERROR(INDEX('Drop Point'!$B$13:$M$36,MATCH(F$97,'Drop Point'!$B$13:$B$37,0),MATCH($Q88,'Drop Point'!$B$41:$M$41,0)),
IFERROR(INDEX('Control - Grain dscf'!$C$11:$N$27,MATCH(F$97,'Control - Grain dscf'!$B$11:$B$27,0),MATCH($Q88,'Control - Grain dscf'!$C$32:$N$32,0)),
IFERROR(INDEX('Control - Alt'!$C$9:$O$27,MATCH(F$97,'Control - Alt'!$B$9:$B$27,0),MATCH($Q88,'Control - Alt'!$C$32:$O$32,0)),
IFERROR(INDEX(Stockpile!$C$10:$M$26,MATCH(F$97,Stockpile!$B$10:$B$26,0),MATCH($Q88,Stockpile!$C$30:$M$30,0)),
IFERROR(INDEX('Asphalt Silo &amp; Unloading'!$D$10:$M$44,MATCH(F$97,'Asphalt Silo &amp; Unloading'!$B$10:$B$44,0),MATCH($Q88,'Asphalt Silo &amp; Unloading'!$D$49:$M$49,0)),""))))))</f>
        <v/>
      </c>
      <c r="G88" s="590" t="str">
        <f>IFERROR(INDEX('Material Handling'!$C$10:$AH$33,MATCH(G$97,Material_Handling[Data],0),MATCH($Q88,'Material Handling'!$C$40:$AH$40,0)), IFERROR(INDEX('Drop Point'!$B$13:$M$36,MATCH(G$97,'Drop Point'!$B$13:$B$37,0),MATCH($Q88,'Drop Point'!$B$41:$M$41,0)),
IFERROR(INDEX('Control - Grain dscf'!$C$11:$N$27,MATCH(G$97,'Control - Grain dscf'!$B$11:$B$27,0),MATCH($Q88,'Control - Grain dscf'!$C$32:$N$32,0)),
IFERROR(INDEX('Control - Alt'!$C$9:$O$27,MATCH(G$97,'Control - Alt'!$B$9:$B$27,0),MATCH($Q88,'Control - Alt'!$C$32:$O$32,0)),
IFERROR(INDEX(Stockpile!$C$10:$M$26,MATCH(G$97,Stockpile!$B$10:$B$26,0),MATCH($Q88,Stockpile!$C$30:$M$30,0)),
IFERROR(INDEX('Asphalt Silo &amp; Unloading'!$D$10:$M$44,MATCH(G$97,'Asphalt Silo &amp; Unloading'!$B$10:$B$44,0),MATCH($Q88,'Asphalt Silo &amp; Unloading'!$D$49:$M$49,0)),""))))))</f>
        <v/>
      </c>
      <c r="H88" s="590" t="str">
        <f>IFERROR(INDEX('Material Handling'!$C$10:$AH$33,MATCH(H$97,Material_Handling[Data],0),MATCH($Q88,'Material Handling'!$C$40:$AH$40,0)), IFERROR(INDEX('Drop Point'!$B$13:$M$36,MATCH(H$97,'Drop Point'!$B$13:$B$37,0),MATCH($Q88,'Drop Point'!$B$41:$M$41,0)),
IFERROR(INDEX('Control - Grain dscf'!$C$11:$N$27,MATCH(H$97,'Control - Grain dscf'!$B$11:$B$27,0),MATCH($Q88,'Control - Grain dscf'!$C$32:$N$32,0)),
IFERROR(INDEX('Control - Alt'!$C$9:$O$27,MATCH(H$97,'Control - Alt'!$B$9:$B$27,0),MATCH($Q88,'Control - Alt'!$C$32:$O$32,0)),
IFERROR(INDEX(Stockpile!$C$10:$M$26,MATCH(H$97,Stockpile!$B$10:$B$26,0),MATCH($Q88,Stockpile!$C$30:$M$30,0)),
IFERROR(INDEX('Asphalt Silo &amp; Unloading'!$D$10:$M$44,MATCH(H$97,'Asphalt Silo &amp; Unloading'!$B$10:$B$44,0),MATCH($Q88,'Asphalt Silo &amp; Unloading'!$D$49:$M$49,0)),""))))))</f>
        <v/>
      </c>
      <c r="I88" s="590" t="str">
        <f>IFERROR(INDEX('Material Handling'!$C$10:$AH$33,MATCH(I$97,Material_Handling[Data],0),MATCH($Q88,'Material Handling'!$C$40:$AH$40,0)), IFERROR(INDEX('Drop Point'!$B$13:$M$36,MATCH(I$97,'Drop Point'!$B$13:$B$37,0),MATCH($Q88,'Drop Point'!$B$41:$M$41,0)),
IFERROR(INDEX('Control - Grain dscf'!$C$11:$N$27,MATCH(I$97,'Control - Grain dscf'!$B$11:$B$27,0),MATCH($Q88,'Control - Grain dscf'!$C$32:$N$32,0)),
IFERROR(INDEX('Control - Alt'!$C$9:$O$27,MATCH(I$97,'Control - Alt'!$B$9:$B$27,0),MATCH($Q88,'Control - Alt'!$C$32:$O$32,0)),
IFERROR(INDEX(Stockpile!$C$10:$M$26,MATCH(I$97,Stockpile!$B$10:$B$26,0),MATCH($Q88,Stockpile!$C$30:$M$30,0)),
IFERROR(INDEX('Asphalt Silo &amp; Unloading'!$D$10:$M$44,MATCH(I$97,'Asphalt Silo &amp; Unloading'!$B$10:$B$44,0),MATCH($Q88,'Asphalt Silo &amp; Unloading'!$D$49:$M$49,0)),""))))))</f>
        <v/>
      </c>
      <c r="J88" s="590" t="str">
        <f>IFERROR(INDEX('Material Handling'!$C$10:$AH$33,MATCH(J$97,Material_Handling[Data],0),MATCH($Q88,'Material Handling'!$C$40:$AH$40,0)), IFERROR(INDEX('Drop Point'!$B$13:$M$36,MATCH(J$97,'Drop Point'!$B$13:$B$37,0),MATCH($Q88,'Drop Point'!$B$41:$M$41,0)),
IFERROR(INDEX('Control - Grain dscf'!$C$11:$N$27,MATCH(J$97,'Control - Grain dscf'!$B$11:$B$27,0),MATCH($Q88,'Control - Grain dscf'!$C$32:$N$32,0)),
IFERROR(INDEX('Control - Alt'!$C$9:$O$27,MATCH(J$97,'Control - Alt'!$B$9:$B$27,0),MATCH($Q88,'Control - Alt'!$C$32:$O$32,0)),
IFERROR(INDEX(Stockpile!$C$10:$M$26,MATCH(J$97,Stockpile!$B$10:$B$26,0),MATCH($Q88,Stockpile!$C$30:$M$30,0)),
IFERROR(INDEX('Asphalt Silo &amp; Unloading'!$D$10:$M$44,MATCH(J$97,'Asphalt Silo &amp; Unloading'!$B$10:$B$44,0),MATCH($Q88,'Asphalt Silo &amp; Unloading'!$D$49:$M$49,0)),""))))))</f>
        <v/>
      </c>
      <c r="K88" s="590" t="str">
        <f>IFERROR(INDEX('Material Handling'!$C$10:$AH$33,MATCH(K$97,Material_Handling[Data],0),MATCH($Q88,'Material Handling'!$C$40:$AH$40,0)), IFERROR(INDEX('Drop Point'!$B$13:$M$36,MATCH(K$97,'Drop Point'!$B$13:$B$37,0),MATCH($Q88,'Drop Point'!$B$41:$M$41,0)),
IFERROR(INDEX('Control - Grain dscf'!$C$11:$N$27,MATCH(K$97,'Control - Grain dscf'!$B$11:$B$27,0),MATCH($Q88,'Control - Grain dscf'!$C$32:$N$32,0)),
IFERROR(INDEX('Control - Alt'!$C$9:$O$27,MATCH(K$97,'Control - Alt'!$B$9:$B$27,0),MATCH($Q88,'Control - Alt'!$C$32:$O$32,0)),
IFERROR(INDEX(Stockpile!$C$10:$M$26,MATCH(K$97,Stockpile!$B$10:$B$26,0),MATCH($Q88,Stockpile!$C$30:$M$30,0)),
IFERROR(INDEX('Asphalt Silo &amp; Unloading'!$D$10:$M$44,MATCH(K$97,'Asphalt Silo &amp; Unloading'!$B$10:$B$44,0),MATCH($Q88,'Asphalt Silo &amp; Unloading'!$D$49:$M$49,0)),""))))))</f>
        <v/>
      </c>
      <c r="L88" s="590" t="str">
        <f>IFERROR(INDEX('Material Handling'!$C$10:$AH$33,MATCH(L$97,Material_Handling[Data],0),MATCH($Q88,'Material Handling'!$C$40:$AH$40,0)), IFERROR(INDEX('Drop Point'!$B$13:$M$36,MATCH(L$97,'Drop Point'!$B$13:$B$37,0),MATCH($Q88,'Drop Point'!$B$41:$M$41,0)),
IFERROR(INDEX('Control - Grain dscf'!$C$11:$N$27,MATCH(L$97,'Control - Grain dscf'!$B$11:$B$27,0),MATCH($Q88,'Control - Grain dscf'!$C$32:$N$32,0)),
IFERROR(INDEX('Control - Alt'!$C$9:$O$27,MATCH(L$97,'Control - Alt'!$B$9:$B$27,0),MATCH($Q88,'Control - Alt'!$C$32:$O$32,0)),
IFERROR(INDEX(Stockpile!$C$10:$M$26,MATCH(L$97,Stockpile!$B$10:$B$26,0),MATCH($Q88,Stockpile!$C$30:$M$30,0)),
IFERROR(INDEX('Asphalt Silo &amp; Unloading'!$D$10:$M$44,MATCH(L$97,'Asphalt Silo &amp; Unloading'!$B$10:$B$44,0),MATCH($Q88,'Asphalt Silo &amp; Unloading'!$D$49:$M$49,0)),""))))))</f>
        <v/>
      </c>
      <c r="M88" s="590" t="str">
        <f>IFERROR(INDEX('Material Handling'!$C$10:$AH$33,MATCH(M$97,Material_Handling[Data],0),MATCH($Q88,'Material Handling'!$C$40:$AH$40,0)), IFERROR(INDEX('Drop Point'!$B$13:$M$36,MATCH(M$97,'Drop Point'!$B$13:$B$37,0),MATCH($Q88,'Drop Point'!$B$41:$M$41,0)),
IFERROR(INDEX('Control - Grain dscf'!$C$11:$N$27,MATCH(M$97,'Control - Grain dscf'!$B$11:$B$27,0),MATCH($Q88,'Control - Grain dscf'!$C$32:$N$32,0)),
IFERROR(INDEX('Control - Alt'!$C$9:$O$27,MATCH(M$97,'Control - Alt'!$B$9:$B$27,0),MATCH($Q88,'Control - Alt'!$C$32:$O$32,0)),
IFERROR(INDEX(Stockpile!$C$10:$M$26,MATCH(M$97,Stockpile!$B$10:$B$26,0),MATCH($Q88,Stockpile!$C$30:$M$30,0)),
IFERROR(INDEX('Asphalt Silo &amp; Unloading'!$D$10:$M$44,MATCH(M$97,'Asphalt Silo &amp; Unloading'!$B$10:$B$44,0),MATCH($Q88,'Asphalt Silo &amp; Unloading'!$D$49:$M$49,0)),""))))))</f>
        <v/>
      </c>
      <c r="N88" s="590" t="str">
        <f>IFERROR(INDEX('Material Handling'!$C$10:$AH$33,MATCH(N$97,Material_Handling[Data],0),MATCH($Q88,'Material Handling'!$C$40:$AH$40,0)), IFERROR(INDEX('Drop Point'!$B$13:$M$36,MATCH(N$97,'Drop Point'!$B$13:$B$37,0),MATCH($Q88,'Drop Point'!$B$41:$M$41,0)),
IFERROR(INDEX('Control - Grain dscf'!$C$11:$N$27,MATCH(N$97,'Control - Grain dscf'!$B$11:$B$27,0),MATCH($Q88,'Control - Grain dscf'!$C$32:$N$32,0)),
IFERROR(INDEX('Control - Alt'!$C$9:$O$27,MATCH(N$97,'Control - Alt'!$B$9:$B$27,0),MATCH($Q88,'Control - Alt'!$C$32:$O$32,0)),
IFERROR(INDEX(Stockpile!$C$10:$M$26,MATCH(N$97,Stockpile!$B$10:$B$26,0),MATCH($Q88,Stockpile!$C$30:$M$30,0)),
IFERROR(INDEX('Asphalt Silo &amp; Unloading'!$D$10:$M$44,MATCH(N$97,'Asphalt Silo &amp; Unloading'!$B$10:$B$44,0),MATCH($Q88,'Asphalt Silo &amp; Unloading'!$D$49:$M$49,0)),""))))))</f>
        <v/>
      </c>
      <c r="O88" s="591" t="str">
        <f>IFERROR(INDEX('Material Handling'!$C$10:$AH$33,MATCH(O$97,Material_Handling[Data],0),MATCH($Q88,'Material Handling'!$C$40:$AH$40,0)), IFERROR(INDEX('Drop Point'!$B$13:$M$36,MATCH(O$97,'Drop Point'!$B$13:$B$37,0),MATCH($Q88,'Drop Point'!$B$41:$M$41,0)),
IFERROR(INDEX('Control - Grain dscf'!$C$11:$N$27,MATCH(O$97,'Control - Grain dscf'!$B$11:$B$27,0),MATCH($Q88,'Control - Grain dscf'!$C$32:$N$32,0)),
IFERROR(INDEX('Control - Alt'!$C$9:$O$27,MATCH(O$97,'Control - Alt'!$B$9:$B$27,0),MATCH($Q88,'Control - Alt'!$C$32:$O$32,0)),
IFERROR(INDEX(Stockpile!$C$10:$M$26,MATCH(O$97,Stockpile!$B$10:$B$26,0),MATCH($Q88,Stockpile!$C$30:$M$30,0)),
IFERROR(INDEX('Asphalt Silo &amp; Unloading'!$D$10:$M$44,MATCH(O$97,'Asphalt Silo &amp; Unloading'!$B$10:$B$44,0),MATCH($Q88,'Asphalt Silo &amp; Unloading'!$D$49:$M$49,0)),""))))))</f>
        <v/>
      </c>
      <c r="Q88" s="131">
        <f t="shared" si="2"/>
        <v>80</v>
      </c>
    </row>
    <row r="89" spans="1:17" ht="17.25" customHeight="1" thickBot="1">
      <c r="A89" s="293" t="str">
        <f>IFERROR(INDEX('Material Handling'!$C$10:$AH$33,MATCH(A$97,Material_Handling[Data],0),MATCH($Q89,'Material Handling'!$C$40:$AH$40,0)), IFERROR(INDEX('Drop Point'!$B$13:$M$36,MATCH(A$97,'Drop Point'!$B$13:$B$37,0),MATCH($Q89,'Drop Point'!$B$41:$M$41,0)),
IFERROR(INDEX('Control - Grain dscf'!$C$11:$N$27,MATCH(A$97,'Control - Grain dscf'!$B$11:$B$27,0),MATCH($Q89,'Control - Grain dscf'!$C$32:$N$32,0)),
IFERROR(INDEX('Control - Alt'!$C$9:$O$27,MATCH(A$97,'Control - Alt'!$B$9:$B$27,0),MATCH($Q89,'Control - Alt'!$C$32:$O$32,0)),
IFERROR(INDEX(Stockpile!$C$10:$M$26,MATCH(A$97,Stockpile!$B$10:$B$26,0),MATCH($Q89,Stockpile!$C$30:$M$30,0)),
IFERROR(INDEX('Asphalt Silo &amp; Unloading'!$D$10:$M$44,MATCH(A$97,'Asphalt Silo &amp; Unloading'!$B$10:$B$44,0),MATCH($Q89,'Asphalt Silo &amp; Unloading'!$D$49:$M$49,0)),""))))))</f>
        <v/>
      </c>
      <c r="B89" s="135" t="str">
        <f>IFERROR(INDEX('Material Handling'!$C$10:$AH$33,MATCH(B$97,Material_Handling[Data],0),MATCH($Q89,'Material Handling'!$C$40:$AH$40,0)), IFERROR(INDEX('Drop Point'!$B$13:$M$36,MATCH(B$97,'Drop Point'!$B$13:$B$37,0),MATCH($Q89,'Drop Point'!$B$41:$M$41,0)),
IFERROR(INDEX('Control - Grain dscf'!$C$11:$N$27,MATCH(B$97,'Control - Grain dscf'!$B$11:$B$27,0),MATCH($Q89,'Control - Grain dscf'!$C$32:$N$32,0)),
IFERROR(INDEX('Control - Alt'!$C$9:$O$27,MATCH(B$97,'Control - Alt'!$B$9:$B$27,0),MATCH($Q89,'Control - Alt'!$C$32:$O$32,0)),
IFERROR(INDEX(Stockpile!$C$10:$M$26,MATCH(B$97,Stockpile!$B$10:$B$26,0),MATCH($Q89,Stockpile!$C$30:$M$30,0)),
IFERROR(INDEX('Asphalt Silo &amp; Unloading'!$D$10:$M$44,MATCH(B$97,'Asphalt Silo &amp; Unloading'!$B$10:$B$44,0),MATCH($Q89,'Asphalt Silo &amp; Unloading'!$D$49:$M$49,0)),""))))))</f>
        <v/>
      </c>
      <c r="C89" s="135" t="str">
        <f>IFERROR(INDEX('Material Handling'!$C$10:$AH$33,MATCH(C$97,Material_Handling[Data],0),MATCH($Q89,'Material Handling'!$C$40:$AH$40,0)), IFERROR(INDEX('Drop Point'!$B$13:$M$36,MATCH(C$97,'Drop Point'!$B$13:$B$37,0),MATCH($Q89,'Drop Point'!$B$41:$M$41,0)),
IFERROR(INDEX('Control - Grain dscf'!$C$11:$N$27,MATCH(C$97,'Control - Grain dscf'!$B$11:$B$27,0),MATCH($Q89,'Control - Grain dscf'!$C$32:$N$32,0)),
IFERROR(INDEX('Control - Alt'!$C$9:$O$27,MATCH(C$97,'Control - Alt'!$B$9:$B$27,0),MATCH($Q89,'Control - Alt'!$C$32:$O$32,0)),
IFERROR(INDEX(Stockpile!$C$10:$M$26,MATCH(C$97,Stockpile!$B$10:$B$26,0),MATCH($Q89,Stockpile!$C$30:$M$30,0)),
IFERROR(INDEX('Asphalt Silo &amp; Unloading'!$D$10:$M$44,MATCH(C$97,'Asphalt Silo &amp; Unloading'!$B$10:$B$44,0),MATCH($Q89,'Asphalt Silo &amp; Unloading'!$D$49:$M$49,0)),""))))))</f>
        <v/>
      </c>
      <c r="D89" s="135" t="str">
        <f>IFERROR(INDEX('Material Handling'!$C$10:$AH$33,MATCH(D$97,Material_Handling[Data],0),MATCH($Q89,'Material Handling'!$C$40:$AH$40,0)), IFERROR(INDEX('Drop Point'!$B$13:$M$36,MATCH(D$97,'Drop Point'!$B$13:$B$37,0),MATCH($Q89,'Drop Point'!$B$41:$M$41,0)),
IFERROR(INDEX('Control - Grain dscf'!$C$11:$N$27,MATCH(D$97,'Control - Grain dscf'!$B$11:$B$27,0),MATCH($Q89,'Control - Grain dscf'!$C$32:$N$32,0)),
IFERROR(INDEX('Control - Alt'!$C$9:$O$27,MATCH(D$97,'Control - Alt'!$B$9:$B$27,0),MATCH($Q89,'Control - Alt'!$C$32:$O$32,0)),
IFERROR(INDEX(Stockpile!$C$10:$M$26,MATCH(D$97,Stockpile!$B$10:$B$26,0),MATCH($Q89,Stockpile!$C$30:$M$30,0)),
IFERROR(INDEX('Asphalt Silo &amp; Unloading'!$D$10:$M$44,MATCH(D$97,'Asphalt Silo &amp; Unloading'!$B$10:$B$44,0),MATCH($Q89,'Asphalt Silo &amp; Unloading'!$D$49:$M$49,0)),""))))))</f>
        <v/>
      </c>
      <c r="E89" s="620" t="str">
        <f>IFERROR(INDEX('Material Handling'!$C$10:$AH$33,MATCH(E$97,Material_Handling[Data],0),MATCH($Q89,'Material Handling'!$C$40:$AH$40,0)), IFERROR(INDEX('Drop Point'!$B$13:$M$36,MATCH(E$97,'Drop Point'!$B$13:$B$37,0),MATCH($Q89,'Drop Point'!$B$41:$M$41,0)),
IFERROR(INDEX('Control - Grain dscf'!$C$11:$N$27,MATCH(E$97,'Control - Grain dscf'!$B$11:$B$27,0),MATCH($Q89,'Control - Grain dscf'!$C$32:$N$32,0)),
IFERROR(INDEX('Control - Alt'!$C$9:$O$27,MATCH(E$97,'Control - Alt'!$B$9:$B$27,0),MATCH($Q89,'Control - Alt'!$C$32:$O$32,0)),
IFERROR(INDEX(Stockpile!$C$10:$M$26,MATCH(E$97,Stockpile!$B$10:$B$26,0),MATCH($Q89,Stockpile!$C$30:$M$30,0)),
IFERROR(INDEX('Asphalt Silo &amp; Unloading'!$D$10:$M$44,MATCH(E$97,'Asphalt Silo &amp; Unloading'!$B$10:$B$44,0),MATCH($Q89,'Asphalt Silo &amp; Unloading'!$D$49:$M$49,0)),""))))))</f>
        <v/>
      </c>
      <c r="F89" s="590" t="str">
        <f>IFERROR(INDEX('Material Handling'!$C$10:$AH$33,MATCH(F$97,Material_Handling[Data],0),MATCH($Q89,'Material Handling'!$C$40:$AH$40,0)), IFERROR(INDEX('Drop Point'!$B$13:$M$36,MATCH(F$97,'Drop Point'!$B$13:$B$37,0),MATCH($Q89,'Drop Point'!$B$41:$M$41,0)),
IFERROR(INDEX('Control - Grain dscf'!$C$11:$N$27,MATCH(F$97,'Control - Grain dscf'!$B$11:$B$27,0),MATCH($Q89,'Control - Grain dscf'!$C$32:$N$32,0)),
IFERROR(INDEX('Control - Alt'!$C$9:$O$27,MATCH(F$97,'Control - Alt'!$B$9:$B$27,0),MATCH($Q89,'Control - Alt'!$C$32:$O$32,0)),
IFERROR(INDEX(Stockpile!$C$10:$M$26,MATCH(F$97,Stockpile!$B$10:$B$26,0),MATCH($Q89,Stockpile!$C$30:$M$30,0)),
IFERROR(INDEX('Asphalt Silo &amp; Unloading'!$D$10:$M$44,MATCH(F$97,'Asphalt Silo &amp; Unloading'!$B$10:$B$44,0),MATCH($Q89,'Asphalt Silo &amp; Unloading'!$D$49:$M$49,0)),""))))))</f>
        <v/>
      </c>
      <c r="G89" s="590" t="str">
        <f>IFERROR(INDEX('Material Handling'!$C$10:$AH$33,MATCH(G$97,Material_Handling[Data],0),MATCH($Q89,'Material Handling'!$C$40:$AH$40,0)), IFERROR(INDEX('Drop Point'!$B$13:$M$36,MATCH(G$97,'Drop Point'!$B$13:$B$37,0),MATCH($Q89,'Drop Point'!$B$41:$M$41,0)),
IFERROR(INDEX('Control - Grain dscf'!$C$11:$N$27,MATCH(G$97,'Control - Grain dscf'!$B$11:$B$27,0),MATCH($Q89,'Control - Grain dscf'!$C$32:$N$32,0)),
IFERROR(INDEX('Control - Alt'!$C$9:$O$27,MATCH(G$97,'Control - Alt'!$B$9:$B$27,0),MATCH($Q89,'Control - Alt'!$C$32:$O$32,0)),
IFERROR(INDEX(Stockpile!$C$10:$M$26,MATCH(G$97,Stockpile!$B$10:$B$26,0),MATCH($Q89,Stockpile!$C$30:$M$30,0)),
IFERROR(INDEX('Asphalt Silo &amp; Unloading'!$D$10:$M$44,MATCH(G$97,'Asphalt Silo &amp; Unloading'!$B$10:$B$44,0),MATCH($Q89,'Asphalt Silo &amp; Unloading'!$D$49:$M$49,0)),""))))))</f>
        <v/>
      </c>
      <c r="H89" s="590" t="str">
        <f>IFERROR(INDEX('Material Handling'!$C$10:$AH$33,MATCH(H$97,Material_Handling[Data],0),MATCH($Q89,'Material Handling'!$C$40:$AH$40,0)), IFERROR(INDEX('Drop Point'!$B$13:$M$36,MATCH(H$97,'Drop Point'!$B$13:$B$37,0),MATCH($Q89,'Drop Point'!$B$41:$M$41,0)),
IFERROR(INDEX('Control - Grain dscf'!$C$11:$N$27,MATCH(H$97,'Control - Grain dscf'!$B$11:$B$27,0),MATCH($Q89,'Control - Grain dscf'!$C$32:$N$32,0)),
IFERROR(INDEX('Control - Alt'!$C$9:$O$27,MATCH(H$97,'Control - Alt'!$B$9:$B$27,0),MATCH($Q89,'Control - Alt'!$C$32:$O$32,0)),
IFERROR(INDEX(Stockpile!$C$10:$M$26,MATCH(H$97,Stockpile!$B$10:$B$26,0),MATCH($Q89,Stockpile!$C$30:$M$30,0)),
IFERROR(INDEX('Asphalt Silo &amp; Unloading'!$D$10:$M$44,MATCH(H$97,'Asphalt Silo &amp; Unloading'!$B$10:$B$44,0),MATCH($Q89,'Asphalt Silo &amp; Unloading'!$D$49:$M$49,0)),""))))))</f>
        <v/>
      </c>
      <c r="I89" s="590" t="str">
        <f>IFERROR(INDEX('Material Handling'!$C$10:$AH$33,MATCH(I$97,Material_Handling[Data],0),MATCH($Q89,'Material Handling'!$C$40:$AH$40,0)), IFERROR(INDEX('Drop Point'!$B$13:$M$36,MATCH(I$97,'Drop Point'!$B$13:$B$37,0),MATCH($Q89,'Drop Point'!$B$41:$M$41,0)),
IFERROR(INDEX('Control - Grain dscf'!$C$11:$N$27,MATCH(I$97,'Control - Grain dscf'!$B$11:$B$27,0),MATCH($Q89,'Control - Grain dscf'!$C$32:$N$32,0)),
IFERROR(INDEX('Control - Alt'!$C$9:$O$27,MATCH(I$97,'Control - Alt'!$B$9:$B$27,0),MATCH($Q89,'Control - Alt'!$C$32:$O$32,0)),
IFERROR(INDEX(Stockpile!$C$10:$M$26,MATCH(I$97,Stockpile!$B$10:$B$26,0),MATCH($Q89,Stockpile!$C$30:$M$30,0)),
IFERROR(INDEX('Asphalt Silo &amp; Unloading'!$D$10:$M$44,MATCH(I$97,'Asphalt Silo &amp; Unloading'!$B$10:$B$44,0),MATCH($Q89,'Asphalt Silo &amp; Unloading'!$D$49:$M$49,0)),""))))))</f>
        <v/>
      </c>
      <c r="J89" s="590" t="str">
        <f>IFERROR(INDEX('Material Handling'!$C$10:$AH$33,MATCH(J$97,Material_Handling[Data],0),MATCH($Q89,'Material Handling'!$C$40:$AH$40,0)), IFERROR(INDEX('Drop Point'!$B$13:$M$36,MATCH(J$97,'Drop Point'!$B$13:$B$37,0),MATCH($Q89,'Drop Point'!$B$41:$M$41,0)),
IFERROR(INDEX('Control - Grain dscf'!$C$11:$N$27,MATCH(J$97,'Control - Grain dscf'!$B$11:$B$27,0),MATCH($Q89,'Control - Grain dscf'!$C$32:$N$32,0)),
IFERROR(INDEX('Control - Alt'!$C$9:$O$27,MATCH(J$97,'Control - Alt'!$B$9:$B$27,0),MATCH($Q89,'Control - Alt'!$C$32:$O$32,0)),
IFERROR(INDEX(Stockpile!$C$10:$M$26,MATCH(J$97,Stockpile!$B$10:$B$26,0),MATCH($Q89,Stockpile!$C$30:$M$30,0)),
IFERROR(INDEX('Asphalt Silo &amp; Unloading'!$D$10:$M$44,MATCH(J$97,'Asphalt Silo &amp; Unloading'!$B$10:$B$44,0),MATCH($Q89,'Asphalt Silo &amp; Unloading'!$D$49:$M$49,0)),""))))))</f>
        <v/>
      </c>
      <c r="K89" s="590" t="str">
        <f>IFERROR(INDEX('Material Handling'!$C$10:$AH$33,MATCH(K$97,Material_Handling[Data],0),MATCH($Q89,'Material Handling'!$C$40:$AH$40,0)), IFERROR(INDEX('Drop Point'!$B$13:$M$36,MATCH(K$97,'Drop Point'!$B$13:$B$37,0),MATCH($Q89,'Drop Point'!$B$41:$M$41,0)),
IFERROR(INDEX('Control - Grain dscf'!$C$11:$N$27,MATCH(K$97,'Control - Grain dscf'!$B$11:$B$27,0),MATCH($Q89,'Control - Grain dscf'!$C$32:$N$32,0)),
IFERROR(INDEX('Control - Alt'!$C$9:$O$27,MATCH(K$97,'Control - Alt'!$B$9:$B$27,0),MATCH($Q89,'Control - Alt'!$C$32:$O$32,0)),
IFERROR(INDEX(Stockpile!$C$10:$M$26,MATCH(K$97,Stockpile!$B$10:$B$26,0),MATCH($Q89,Stockpile!$C$30:$M$30,0)),
IFERROR(INDEX('Asphalt Silo &amp; Unloading'!$D$10:$M$44,MATCH(K$97,'Asphalt Silo &amp; Unloading'!$B$10:$B$44,0),MATCH($Q89,'Asphalt Silo &amp; Unloading'!$D$49:$M$49,0)),""))))))</f>
        <v/>
      </c>
      <c r="L89" s="590" t="str">
        <f>IFERROR(INDEX('Material Handling'!$C$10:$AH$33,MATCH(L$97,Material_Handling[Data],0),MATCH($Q89,'Material Handling'!$C$40:$AH$40,0)), IFERROR(INDEX('Drop Point'!$B$13:$M$36,MATCH(L$97,'Drop Point'!$B$13:$B$37,0),MATCH($Q89,'Drop Point'!$B$41:$M$41,0)),
IFERROR(INDEX('Control - Grain dscf'!$C$11:$N$27,MATCH(L$97,'Control - Grain dscf'!$B$11:$B$27,0),MATCH($Q89,'Control - Grain dscf'!$C$32:$N$32,0)),
IFERROR(INDEX('Control - Alt'!$C$9:$O$27,MATCH(L$97,'Control - Alt'!$B$9:$B$27,0),MATCH($Q89,'Control - Alt'!$C$32:$O$32,0)),
IFERROR(INDEX(Stockpile!$C$10:$M$26,MATCH(L$97,Stockpile!$B$10:$B$26,0),MATCH($Q89,Stockpile!$C$30:$M$30,0)),
IFERROR(INDEX('Asphalt Silo &amp; Unloading'!$D$10:$M$44,MATCH(L$97,'Asphalt Silo &amp; Unloading'!$B$10:$B$44,0),MATCH($Q89,'Asphalt Silo &amp; Unloading'!$D$49:$M$49,0)),""))))))</f>
        <v/>
      </c>
      <c r="M89" s="590" t="str">
        <f>IFERROR(INDEX('Material Handling'!$C$10:$AH$33,MATCH(M$97,Material_Handling[Data],0),MATCH($Q89,'Material Handling'!$C$40:$AH$40,0)), IFERROR(INDEX('Drop Point'!$B$13:$M$36,MATCH(M$97,'Drop Point'!$B$13:$B$37,0),MATCH($Q89,'Drop Point'!$B$41:$M$41,0)),
IFERROR(INDEX('Control - Grain dscf'!$C$11:$N$27,MATCH(M$97,'Control - Grain dscf'!$B$11:$B$27,0),MATCH($Q89,'Control - Grain dscf'!$C$32:$N$32,0)),
IFERROR(INDEX('Control - Alt'!$C$9:$O$27,MATCH(M$97,'Control - Alt'!$B$9:$B$27,0),MATCH($Q89,'Control - Alt'!$C$32:$O$32,0)),
IFERROR(INDEX(Stockpile!$C$10:$M$26,MATCH(M$97,Stockpile!$B$10:$B$26,0),MATCH($Q89,Stockpile!$C$30:$M$30,0)),
IFERROR(INDEX('Asphalt Silo &amp; Unloading'!$D$10:$M$44,MATCH(M$97,'Asphalt Silo &amp; Unloading'!$B$10:$B$44,0),MATCH($Q89,'Asphalt Silo &amp; Unloading'!$D$49:$M$49,0)),""))))))</f>
        <v/>
      </c>
      <c r="N89" s="590" t="str">
        <f>IFERROR(INDEX('Material Handling'!$C$10:$AH$33,MATCH(N$97,Material_Handling[Data],0),MATCH($Q89,'Material Handling'!$C$40:$AH$40,0)), IFERROR(INDEX('Drop Point'!$B$13:$M$36,MATCH(N$97,'Drop Point'!$B$13:$B$37,0),MATCH($Q89,'Drop Point'!$B$41:$M$41,0)),
IFERROR(INDEX('Control - Grain dscf'!$C$11:$N$27,MATCH(N$97,'Control - Grain dscf'!$B$11:$B$27,0),MATCH($Q89,'Control - Grain dscf'!$C$32:$N$32,0)),
IFERROR(INDEX('Control - Alt'!$C$9:$O$27,MATCH(N$97,'Control - Alt'!$B$9:$B$27,0),MATCH($Q89,'Control - Alt'!$C$32:$O$32,0)),
IFERROR(INDEX(Stockpile!$C$10:$M$26,MATCH(N$97,Stockpile!$B$10:$B$26,0),MATCH($Q89,Stockpile!$C$30:$M$30,0)),
IFERROR(INDEX('Asphalt Silo &amp; Unloading'!$D$10:$M$44,MATCH(N$97,'Asphalt Silo &amp; Unloading'!$B$10:$B$44,0),MATCH($Q89,'Asphalt Silo &amp; Unloading'!$D$49:$M$49,0)),""))))))</f>
        <v/>
      </c>
      <c r="O89" s="591" t="str">
        <f>IFERROR(INDEX('Material Handling'!$C$10:$AH$33,MATCH(O$97,Material_Handling[Data],0),MATCH($Q89,'Material Handling'!$C$40:$AH$40,0)), IFERROR(INDEX('Drop Point'!$B$13:$M$36,MATCH(O$97,'Drop Point'!$B$13:$B$37,0),MATCH($Q89,'Drop Point'!$B$41:$M$41,0)),
IFERROR(INDEX('Control - Grain dscf'!$C$11:$N$27,MATCH(O$97,'Control - Grain dscf'!$B$11:$B$27,0),MATCH($Q89,'Control - Grain dscf'!$C$32:$N$32,0)),
IFERROR(INDEX('Control - Alt'!$C$9:$O$27,MATCH(O$97,'Control - Alt'!$B$9:$B$27,0),MATCH($Q89,'Control - Alt'!$C$32:$O$32,0)),
IFERROR(INDEX(Stockpile!$C$10:$M$26,MATCH(O$97,Stockpile!$B$10:$B$26,0),MATCH($Q89,Stockpile!$C$30:$M$30,0)),
IFERROR(INDEX('Asphalt Silo &amp; Unloading'!$D$10:$M$44,MATCH(O$97,'Asphalt Silo &amp; Unloading'!$B$10:$B$44,0),MATCH($Q89,'Asphalt Silo &amp; Unloading'!$D$49:$M$49,0)),""))))))</f>
        <v/>
      </c>
      <c r="Q89" s="131">
        <f t="shared" si="2"/>
        <v>81</v>
      </c>
    </row>
    <row r="90" spans="1:17" ht="15.75" thickBot="1">
      <c r="A90" s="414" t="s">
        <v>383</v>
      </c>
      <c r="B90" s="415"/>
      <c r="C90" s="415"/>
      <c r="D90" s="415"/>
      <c r="E90" s="416"/>
      <c r="F90" s="565">
        <f t="shared" ref="F90:H90" si="3">SUM(F9:F89)</f>
        <v>0</v>
      </c>
      <c r="G90" s="563">
        <f t="shared" si="3"/>
        <v>0</v>
      </c>
      <c r="H90" s="563">
        <f t="shared" si="3"/>
        <v>0</v>
      </c>
      <c r="I90" s="563">
        <f>SUM(I9:I89)</f>
        <v>0</v>
      </c>
      <c r="J90" s="563">
        <f t="shared" ref="J90:O90" si="4">SUM(J9:J89)</f>
        <v>0</v>
      </c>
      <c r="K90" s="563">
        <f t="shared" si="4"/>
        <v>0</v>
      </c>
      <c r="L90" s="563">
        <f t="shared" si="4"/>
        <v>0</v>
      </c>
      <c r="M90" s="563">
        <f t="shared" si="4"/>
        <v>0</v>
      </c>
      <c r="N90" s="563">
        <f t="shared" si="4"/>
        <v>0</v>
      </c>
      <c r="O90" s="564">
        <f t="shared" si="4"/>
        <v>0</v>
      </c>
    </row>
    <row r="91" spans="1:17" ht="15.75" thickBot="1">
      <c r="A91" s="414" t="s">
        <v>1080</v>
      </c>
      <c r="B91" s="415"/>
      <c r="C91" s="415"/>
      <c r="D91" s="415"/>
      <c r="E91" s="416"/>
      <c r="F91" s="275"/>
      <c r="G91" s="135">
        <v>25</v>
      </c>
      <c r="H91" s="135"/>
      <c r="I91" s="135">
        <v>15</v>
      </c>
      <c r="J91" s="135"/>
      <c r="K91" s="135">
        <v>10</v>
      </c>
      <c r="L91" s="135"/>
      <c r="M91" s="135">
        <v>25</v>
      </c>
      <c r="N91" s="135"/>
      <c r="O91" s="438">
        <v>250</v>
      </c>
    </row>
    <row r="92" spans="1:17" ht="15.75" thickBot="1">
      <c r="A92" s="414" t="s">
        <v>895</v>
      </c>
      <c r="B92" s="415"/>
      <c r="C92" s="415"/>
      <c r="D92" s="415"/>
      <c r="E92" s="416"/>
      <c r="F92" s="640" t="str">
        <f>IF(SUM(F98:O98)&gt;0,"Emissions exceed 106.4 thresholds and project does not qualify to be authorized under PBR. ", "Project individual and total emissions do not exceed the §106.4 threshold.")</f>
        <v>Project individual and total emissions do not exceed the §106.4 threshold.</v>
      </c>
      <c r="G92" s="727"/>
      <c r="H92" s="727"/>
      <c r="I92" s="727"/>
      <c r="J92" s="727"/>
      <c r="K92" s="727"/>
      <c r="L92" s="727"/>
      <c r="M92" s="727"/>
      <c r="N92" s="727"/>
      <c r="O92" s="641"/>
    </row>
    <row r="93" spans="1:17"/>
    <row r="94" spans="1:17">
      <c r="A94" s="668" t="str">
        <f>HYPERLINK("#Alt_Emission_Summary","End of Sheet. Click here to go to the next sheet.")</f>
        <v>End of Sheet. Click here to go to the next sheet.</v>
      </c>
      <c r="B94" s="644"/>
      <c r="C94" s="644"/>
      <c r="D94" s="644"/>
      <c r="E94" s="644"/>
      <c r="F94" s="644"/>
      <c r="G94" s="644"/>
      <c r="H94" s="644"/>
      <c r="I94" s="644"/>
      <c r="J94" s="644"/>
      <c r="K94" s="644"/>
      <c r="L94" s="644"/>
      <c r="M94" s="644"/>
      <c r="N94" s="644"/>
      <c r="O94" s="644"/>
    </row>
    <row r="95" spans="1:17"/>
    <row r="96" spans="1:17"/>
    <row r="97" spans="1:15" hidden="1">
      <c r="A97" s="131" t="s">
        <v>354</v>
      </c>
      <c r="B97" s="131" t="s">
        <v>482</v>
      </c>
      <c r="C97" s="131" t="s">
        <v>1053</v>
      </c>
      <c r="D97" s="131" t="s">
        <v>982</v>
      </c>
      <c r="E97" s="131" t="s">
        <v>533</v>
      </c>
      <c r="F97" s="131" t="s">
        <v>456</v>
      </c>
      <c r="G97" s="131" t="s">
        <v>451</v>
      </c>
      <c r="H97" s="131" t="s">
        <v>952</v>
      </c>
      <c r="I97" s="131" t="s">
        <v>452</v>
      </c>
      <c r="J97" s="131" t="s">
        <v>953</v>
      </c>
      <c r="K97" s="131" t="s">
        <v>453</v>
      </c>
      <c r="L97" s="131" t="s">
        <v>516</v>
      </c>
      <c r="M97" s="131" t="s">
        <v>517</v>
      </c>
      <c r="N97" s="131" t="s">
        <v>514</v>
      </c>
      <c r="O97" s="131" t="s">
        <v>515</v>
      </c>
    </row>
    <row r="98" spans="1:15" hidden="1">
      <c r="C98" s="131" t="s">
        <v>960</v>
      </c>
      <c r="G98" s="131">
        <f>IF(G90&gt;G91,1,0)</f>
        <v>0</v>
      </c>
      <c r="I98" s="131">
        <f t="shared" ref="I98" si="5">IF(I90&gt;I91,1,0)</f>
        <v>0</v>
      </c>
      <c r="K98" s="131">
        <f t="shared" ref="K98" si="6">IF(K90&gt;K91,1,0)</f>
        <v>0</v>
      </c>
      <c r="M98" s="131">
        <f t="shared" ref="M98" si="7">IF(M90&gt;M91,1,0)</f>
        <v>0</v>
      </c>
      <c r="O98" s="131">
        <f t="shared" ref="O98" si="8">IF(O90&gt;O91,1,0)</f>
        <v>0</v>
      </c>
    </row>
  </sheetData>
  <sheetProtection algorithmName="SHA-512" hashValue="kAkF7uylpl4Cmm82ofOPh0QlpAm0X2DPzNsGfz3LO4YiAPhhPxWxkkuBiL1oTC9EwZLXGzUKfiajkymiV7YCgw==" saltValue="5gQ2g+jpuUa02CLn8Pcv2A==" spinCount="100000" sheet="1" objects="1" scenarios="1" formatColumns="0" formatRows="0" autoFilter="0"/>
  <mergeCells count="4">
    <mergeCell ref="A1:O1"/>
    <mergeCell ref="A2:O4"/>
    <mergeCell ref="A94:O94"/>
    <mergeCell ref="F92:O92"/>
  </mergeCells>
  <phoneticPr fontId="50" type="noConversion"/>
  <conditionalFormatting sqref="A6">
    <cfRule type="expression" dxfId="8" priority="1">
      <formula>$B$13="yes"</formula>
    </cfRule>
  </conditionalFormatting>
  <conditionalFormatting sqref="G9:G90 I9:I90 K9:K90 M9:M90 O9:O90">
    <cfRule type="expression" dxfId="7" priority="43">
      <formula>AND(G9&gt;F9*8760/2000,F9&gt;0)</formula>
    </cfRule>
  </conditionalFormatting>
  <conditionalFormatting sqref="G9:G90 I9:I90 K9:K90">
    <cfRule type="expression" dxfId="6" priority="3">
      <formula>AND(NOT(G9=""),G9&gt;G$91)</formula>
    </cfRule>
  </conditionalFormatting>
  <dataValidations count="3">
    <dataValidation allowBlank="1" showInputMessage="1" showErrorMessage="1" promptTitle="Helper Column Code" prompt="counter to track populated EPNs through the workbook" sqref="Q8" xr:uid="{FF563341-0168-4DB8-BCA7-2C9CA704C5B9}"/>
    <dataValidation allowBlank="1" showInputMessage="1" showErrorMessage="1" promptTitle="Helper Row: CODE" prompt="for index match - matches subect variable per row" sqref="A97" xr:uid="{0DAF106E-4685-4814-A12F-7399F185BB6D}"/>
    <dataValidation type="list" allowBlank="1" showErrorMessage="1" promptTitle="Major Source" prompt="Is this located at a federal NSR major source (PSD or NNSR)? " sqref="A6" xr:uid="{C27B12FD-9D63-4F83-80B2-CD1FF9436E59}">
      <formula1>"Yes, No"</formula1>
    </dataValidation>
  </dataValidations>
  <pageMargins left="0.7" right="0.7" top="0.75" bottom="0.75" header="0.3" footer="0.3"/>
  <pageSetup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7EC109-05CC-4D56-A1E2-5DBA05A57ED6}">
  <sheetPr codeName="Sheet11">
    <tabColor rgb="FFFFFFCC"/>
  </sheetPr>
  <dimension ref="A1:R98"/>
  <sheetViews>
    <sheetView showGridLines="0" workbookViewId="0">
      <selection sqref="A1:P1"/>
    </sheetView>
  </sheetViews>
  <sheetFormatPr defaultColWidth="0" defaultRowHeight="14.25" zeroHeight="1"/>
  <cols>
    <col min="1" max="2" width="10.7109375" style="131" customWidth="1"/>
    <col min="3" max="3" width="17" style="131" customWidth="1"/>
    <col min="4" max="4" width="10.5703125" style="131" customWidth="1"/>
    <col min="5" max="5" width="13.7109375" style="131" customWidth="1"/>
    <col min="6" max="15" width="8.7109375" style="131" customWidth="1"/>
    <col min="16" max="16" width="22.85546875" style="131" customWidth="1"/>
    <col min="17" max="17" width="2.7109375" style="131" customWidth="1"/>
    <col min="18" max="18" width="0" style="131" hidden="1" customWidth="1"/>
    <col min="19" max="16384" width="9.140625" style="131" hidden="1"/>
  </cols>
  <sheetData>
    <row r="1" spans="1:18" ht="18.75" thickBot="1">
      <c r="A1" s="720" t="s">
        <v>940</v>
      </c>
      <c r="B1" s="721"/>
      <c r="C1" s="721"/>
      <c r="D1" s="721"/>
      <c r="E1" s="721"/>
      <c r="F1" s="721"/>
      <c r="G1" s="721"/>
      <c r="H1" s="721"/>
      <c r="I1" s="721"/>
      <c r="J1" s="721"/>
      <c r="K1" s="721"/>
      <c r="L1" s="721"/>
      <c r="M1" s="721"/>
      <c r="N1" s="721"/>
      <c r="O1" s="721"/>
      <c r="P1" s="654"/>
    </row>
    <row r="2" spans="1:18" ht="27.75" customHeight="1">
      <c r="A2" s="692" t="s">
        <v>1093</v>
      </c>
      <c r="B2" s="704"/>
      <c r="C2" s="704"/>
      <c r="D2" s="704"/>
      <c r="E2" s="704"/>
      <c r="F2" s="704"/>
      <c r="G2" s="704"/>
      <c r="H2" s="704"/>
      <c r="I2" s="704"/>
      <c r="J2" s="704"/>
      <c r="K2" s="704"/>
      <c r="L2" s="704"/>
      <c r="M2" s="704"/>
      <c r="N2" s="704"/>
      <c r="O2" s="704"/>
      <c r="P2" s="695"/>
    </row>
    <row r="3" spans="1:18" ht="75" customHeight="1" thickBot="1">
      <c r="A3" s="683"/>
      <c r="B3" s="728"/>
      <c r="C3" s="728"/>
      <c r="D3" s="728"/>
      <c r="E3" s="728"/>
      <c r="F3" s="728"/>
      <c r="G3" s="728"/>
      <c r="H3" s="728"/>
      <c r="I3" s="728"/>
      <c r="J3" s="728"/>
      <c r="K3" s="728"/>
      <c r="L3" s="728"/>
      <c r="M3" s="728"/>
      <c r="N3" s="728"/>
      <c r="O3" s="728"/>
      <c r="P3" s="643"/>
    </row>
    <row r="4" spans="1:18">
      <c r="A4" s="369"/>
      <c r="B4" s="369"/>
      <c r="C4" s="369"/>
      <c r="D4" s="369"/>
      <c r="E4" s="369"/>
      <c r="F4" s="369"/>
      <c r="G4" s="369"/>
      <c r="H4" s="369"/>
      <c r="I4" s="369"/>
      <c r="J4" s="369"/>
      <c r="K4" s="369"/>
      <c r="L4" s="369"/>
      <c r="M4" s="369"/>
      <c r="N4" s="369"/>
      <c r="O4" s="369"/>
    </row>
    <row r="5" spans="1:18">
      <c r="A5" s="250"/>
      <c r="B5" s="386" t="s">
        <v>1056</v>
      </c>
      <c r="C5" s="386"/>
      <c r="D5" s="369"/>
      <c r="E5" s="369"/>
      <c r="F5" s="369"/>
      <c r="G5" s="369"/>
      <c r="H5" s="369"/>
      <c r="I5" s="369"/>
      <c r="J5" s="369"/>
      <c r="K5" s="369"/>
      <c r="L5" s="369"/>
      <c r="M5" s="369"/>
      <c r="N5" s="369"/>
      <c r="O5" s="369"/>
    </row>
    <row r="6" spans="1:18"/>
    <row r="7" spans="1:18" ht="45.75" thickBot="1">
      <c r="A7" s="355" t="s">
        <v>354</v>
      </c>
      <c r="B7" s="265" t="s">
        <v>482</v>
      </c>
      <c r="C7" s="265" t="s">
        <v>1054</v>
      </c>
      <c r="D7" s="265" t="s">
        <v>981</v>
      </c>
      <c r="E7" s="265" t="s">
        <v>1095</v>
      </c>
      <c r="F7" s="265" t="s">
        <v>39</v>
      </c>
      <c r="G7" s="265" t="s">
        <v>924</v>
      </c>
      <c r="H7" s="265" t="s">
        <v>864</v>
      </c>
      <c r="I7" s="265" t="s">
        <v>865</v>
      </c>
      <c r="J7" s="265" t="s">
        <v>866</v>
      </c>
      <c r="K7" s="265" t="s">
        <v>867</v>
      </c>
      <c r="L7" s="264" t="s">
        <v>919</v>
      </c>
      <c r="M7" s="264" t="s">
        <v>920</v>
      </c>
      <c r="N7" s="264" t="s">
        <v>921</v>
      </c>
      <c r="O7" s="264" t="s">
        <v>922</v>
      </c>
      <c r="P7" s="356" t="s">
        <v>950</v>
      </c>
      <c r="R7" s="131" t="s">
        <v>926</v>
      </c>
    </row>
    <row r="8" spans="1:18" ht="20.100000000000001" customHeight="1">
      <c r="A8" s="417"/>
      <c r="B8" s="249"/>
      <c r="C8" s="255"/>
      <c r="D8" s="467"/>
      <c r="E8" s="607"/>
      <c r="F8" s="566"/>
      <c r="G8" s="566"/>
      <c r="H8" s="566"/>
      <c r="I8" s="566"/>
      <c r="J8" s="566"/>
      <c r="K8" s="566"/>
      <c r="L8" s="567"/>
      <c r="M8" s="567"/>
      <c r="N8" s="567"/>
      <c r="O8" s="567"/>
      <c r="P8" s="520"/>
      <c r="R8" s="131">
        <v>1</v>
      </c>
    </row>
    <row r="9" spans="1:18" ht="20.100000000000001" customHeight="1">
      <c r="A9" s="418"/>
      <c r="B9" s="250"/>
      <c r="C9" s="250"/>
      <c r="D9" s="467"/>
      <c r="E9" s="467"/>
      <c r="F9" s="568"/>
      <c r="G9" s="568"/>
      <c r="H9" s="568"/>
      <c r="I9" s="568"/>
      <c r="J9" s="568"/>
      <c r="K9" s="568"/>
      <c r="L9" s="569"/>
      <c r="M9" s="569"/>
      <c r="N9" s="569"/>
      <c r="O9" s="569"/>
      <c r="P9" s="406"/>
      <c r="R9" s="131">
        <f t="shared" ref="R9:R40" si="0">R8+1</f>
        <v>2</v>
      </c>
    </row>
    <row r="10" spans="1:18" ht="20.100000000000001" customHeight="1">
      <c r="A10" s="418"/>
      <c r="B10" s="250"/>
      <c r="C10" s="250"/>
      <c r="D10" s="467"/>
      <c r="E10" s="467"/>
      <c r="F10" s="568"/>
      <c r="G10" s="568"/>
      <c r="H10" s="568"/>
      <c r="I10" s="568"/>
      <c r="J10" s="568"/>
      <c r="K10" s="568"/>
      <c r="L10" s="569"/>
      <c r="M10" s="569"/>
      <c r="N10" s="569"/>
      <c r="O10" s="569"/>
      <c r="P10" s="406"/>
      <c r="R10" s="131">
        <f t="shared" si="0"/>
        <v>3</v>
      </c>
    </row>
    <row r="11" spans="1:18" ht="20.100000000000001" customHeight="1">
      <c r="A11" s="418"/>
      <c r="B11" s="250"/>
      <c r="C11" s="250"/>
      <c r="D11" s="467"/>
      <c r="E11" s="467"/>
      <c r="F11" s="568"/>
      <c r="G11" s="568"/>
      <c r="H11" s="568"/>
      <c r="I11" s="568"/>
      <c r="J11" s="568"/>
      <c r="K11" s="568"/>
      <c r="L11" s="569"/>
      <c r="M11" s="569"/>
      <c r="N11" s="569"/>
      <c r="O11" s="569"/>
      <c r="P11" s="406"/>
      <c r="R11" s="131">
        <f t="shared" si="0"/>
        <v>4</v>
      </c>
    </row>
    <row r="12" spans="1:18" ht="20.100000000000001" customHeight="1">
      <c r="A12" s="418"/>
      <c r="B12" s="250"/>
      <c r="C12" s="250"/>
      <c r="D12" s="467"/>
      <c r="E12" s="467"/>
      <c r="F12" s="568"/>
      <c r="G12" s="568"/>
      <c r="H12" s="568"/>
      <c r="I12" s="568"/>
      <c r="J12" s="568"/>
      <c r="K12" s="568"/>
      <c r="L12" s="569"/>
      <c r="M12" s="569"/>
      <c r="N12" s="569"/>
      <c r="O12" s="569"/>
      <c r="P12" s="406"/>
      <c r="R12" s="131">
        <f t="shared" si="0"/>
        <v>5</v>
      </c>
    </row>
    <row r="13" spans="1:18" ht="20.100000000000001" customHeight="1">
      <c r="A13" s="418"/>
      <c r="B13" s="250"/>
      <c r="C13" s="250"/>
      <c r="D13" s="467"/>
      <c r="E13" s="467"/>
      <c r="F13" s="568"/>
      <c r="G13" s="568"/>
      <c r="H13" s="568"/>
      <c r="I13" s="568"/>
      <c r="J13" s="568"/>
      <c r="K13" s="568"/>
      <c r="L13" s="569"/>
      <c r="M13" s="569"/>
      <c r="N13" s="569"/>
      <c r="O13" s="569"/>
      <c r="P13" s="406"/>
      <c r="R13" s="131">
        <f t="shared" si="0"/>
        <v>6</v>
      </c>
    </row>
    <row r="14" spans="1:18" ht="20.100000000000001" customHeight="1">
      <c r="A14" s="418"/>
      <c r="B14" s="250"/>
      <c r="C14" s="250"/>
      <c r="D14" s="467"/>
      <c r="E14" s="467"/>
      <c r="F14" s="568"/>
      <c r="G14" s="568"/>
      <c r="H14" s="568"/>
      <c r="I14" s="568"/>
      <c r="J14" s="568"/>
      <c r="K14" s="568"/>
      <c r="L14" s="569"/>
      <c r="M14" s="569"/>
      <c r="N14" s="569"/>
      <c r="O14" s="569"/>
      <c r="P14" s="406"/>
      <c r="R14" s="131">
        <f t="shared" si="0"/>
        <v>7</v>
      </c>
    </row>
    <row r="15" spans="1:18" ht="20.100000000000001" customHeight="1">
      <c r="A15" s="418"/>
      <c r="B15" s="250"/>
      <c r="C15" s="250"/>
      <c r="D15" s="467"/>
      <c r="E15" s="467"/>
      <c r="F15" s="568"/>
      <c r="G15" s="568"/>
      <c r="H15" s="568"/>
      <c r="I15" s="568"/>
      <c r="J15" s="568"/>
      <c r="K15" s="568"/>
      <c r="L15" s="569"/>
      <c r="M15" s="569"/>
      <c r="N15" s="569"/>
      <c r="O15" s="569"/>
      <c r="P15" s="406"/>
      <c r="R15" s="131">
        <f t="shared" si="0"/>
        <v>8</v>
      </c>
    </row>
    <row r="16" spans="1:18" ht="20.100000000000001" customHeight="1">
      <c r="A16" s="418"/>
      <c r="B16" s="250"/>
      <c r="C16" s="250"/>
      <c r="D16" s="467"/>
      <c r="E16" s="467"/>
      <c r="F16" s="568"/>
      <c r="G16" s="568"/>
      <c r="H16" s="568"/>
      <c r="I16" s="568"/>
      <c r="J16" s="568"/>
      <c r="K16" s="568"/>
      <c r="L16" s="569"/>
      <c r="M16" s="569"/>
      <c r="N16" s="569"/>
      <c r="O16" s="569"/>
      <c r="P16" s="406"/>
      <c r="R16" s="131">
        <f t="shared" si="0"/>
        <v>9</v>
      </c>
    </row>
    <row r="17" spans="1:18" ht="20.100000000000001" customHeight="1">
      <c r="A17" s="418"/>
      <c r="B17" s="250"/>
      <c r="C17" s="250"/>
      <c r="D17" s="467"/>
      <c r="E17" s="467"/>
      <c r="F17" s="568"/>
      <c r="G17" s="568"/>
      <c r="H17" s="568"/>
      <c r="I17" s="568"/>
      <c r="J17" s="568"/>
      <c r="K17" s="568"/>
      <c r="L17" s="569"/>
      <c r="M17" s="569"/>
      <c r="N17" s="569"/>
      <c r="O17" s="569"/>
      <c r="P17" s="406"/>
      <c r="R17" s="131">
        <f t="shared" si="0"/>
        <v>10</v>
      </c>
    </row>
    <row r="18" spans="1:18" ht="20.100000000000001" customHeight="1">
      <c r="A18" s="418"/>
      <c r="B18" s="250"/>
      <c r="C18" s="250"/>
      <c r="D18" s="467"/>
      <c r="E18" s="467"/>
      <c r="F18" s="568"/>
      <c r="G18" s="568"/>
      <c r="H18" s="568"/>
      <c r="I18" s="568"/>
      <c r="J18" s="568"/>
      <c r="K18" s="568"/>
      <c r="L18" s="569"/>
      <c r="M18" s="569"/>
      <c r="N18" s="569"/>
      <c r="O18" s="569"/>
      <c r="P18" s="406"/>
      <c r="R18" s="131">
        <f t="shared" si="0"/>
        <v>11</v>
      </c>
    </row>
    <row r="19" spans="1:18" ht="20.100000000000001" customHeight="1">
      <c r="A19" s="418"/>
      <c r="B19" s="250"/>
      <c r="C19" s="250"/>
      <c r="D19" s="467"/>
      <c r="E19" s="467"/>
      <c r="F19" s="568"/>
      <c r="G19" s="568"/>
      <c r="H19" s="568"/>
      <c r="I19" s="568"/>
      <c r="J19" s="568"/>
      <c r="K19" s="568"/>
      <c r="L19" s="569"/>
      <c r="M19" s="569"/>
      <c r="N19" s="569"/>
      <c r="O19" s="569"/>
      <c r="P19" s="406"/>
      <c r="R19" s="131">
        <f t="shared" si="0"/>
        <v>12</v>
      </c>
    </row>
    <row r="20" spans="1:18" ht="20.100000000000001" customHeight="1">
      <c r="A20" s="418"/>
      <c r="B20" s="250"/>
      <c r="C20" s="250"/>
      <c r="D20" s="467"/>
      <c r="E20" s="467"/>
      <c r="F20" s="568"/>
      <c r="G20" s="568"/>
      <c r="H20" s="568"/>
      <c r="I20" s="568"/>
      <c r="J20" s="568"/>
      <c r="K20" s="568"/>
      <c r="L20" s="569"/>
      <c r="M20" s="569"/>
      <c r="N20" s="569"/>
      <c r="O20" s="569"/>
      <c r="P20" s="406"/>
      <c r="R20" s="131">
        <f t="shared" si="0"/>
        <v>13</v>
      </c>
    </row>
    <row r="21" spans="1:18" ht="20.100000000000001" customHeight="1">
      <c r="A21" s="418"/>
      <c r="B21" s="250"/>
      <c r="C21" s="250"/>
      <c r="D21" s="467"/>
      <c r="E21" s="467"/>
      <c r="F21" s="568"/>
      <c r="G21" s="568"/>
      <c r="H21" s="568"/>
      <c r="I21" s="568"/>
      <c r="J21" s="568"/>
      <c r="K21" s="568"/>
      <c r="L21" s="569"/>
      <c r="M21" s="569"/>
      <c r="N21" s="569"/>
      <c r="O21" s="569"/>
      <c r="P21" s="406"/>
      <c r="R21" s="131">
        <f t="shared" si="0"/>
        <v>14</v>
      </c>
    </row>
    <row r="22" spans="1:18" ht="20.100000000000001" customHeight="1">
      <c r="A22" s="418"/>
      <c r="B22" s="250"/>
      <c r="C22" s="250"/>
      <c r="D22" s="467"/>
      <c r="E22" s="467"/>
      <c r="F22" s="568"/>
      <c r="G22" s="568"/>
      <c r="H22" s="568"/>
      <c r="I22" s="568"/>
      <c r="J22" s="568"/>
      <c r="K22" s="568"/>
      <c r="L22" s="569"/>
      <c r="M22" s="569"/>
      <c r="N22" s="569"/>
      <c r="O22" s="569"/>
      <c r="P22" s="406"/>
      <c r="R22" s="131">
        <f t="shared" si="0"/>
        <v>15</v>
      </c>
    </row>
    <row r="23" spans="1:18" ht="20.100000000000001" customHeight="1">
      <c r="A23" s="418"/>
      <c r="B23" s="250"/>
      <c r="C23" s="250"/>
      <c r="D23" s="467"/>
      <c r="E23" s="467"/>
      <c r="F23" s="568"/>
      <c r="G23" s="568"/>
      <c r="H23" s="568"/>
      <c r="I23" s="568"/>
      <c r="J23" s="568"/>
      <c r="K23" s="568"/>
      <c r="L23" s="569"/>
      <c r="M23" s="569"/>
      <c r="N23" s="569"/>
      <c r="O23" s="569"/>
      <c r="P23" s="406"/>
      <c r="R23" s="131">
        <f t="shared" si="0"/>
        <v>16</v>
      </c>
    </row>
    <row r="24" spans="1:18" ht="20.100000000000001" customHeight="1">
      <c r="A24" s="418"/>
      <c r="B24" s="250"/>
      <c r="C24" s="250"/>
      <c r="D24" s="467"/>
      <c r="E24" s="467"/>
      <c r="F24" s="568"/>
      <c r="G24" s="568"/>
      <c r="H24" s="568"/>
      <c r="I24" s="568"/>
      <c r="J24" s="568"/>
      <c r="K24" s="568"/>
      <c r="L24" s="569"/>
      <c r="M24" s="569"/>
      <c r="N24" s="569"/>
      <c r="O24" s="569"/>
      <c r="P24" s="406"/>
      <c r="R24" s="131">
        <f t="shared" si="0"/>
        <v>17</v>
      </c>
    </row>
    <row r="25" spans="1:18" ht="20.100000000000001" customHeight="1">
      <c r="A25" s="418"/>
      <c r="B25" s="250"/>
      <c r="C25" s="250"/>
      <c r="D25" s="467"/>
      <c r="E25" s="467"/>
      <c r="F25" s="568"/>
      <c r="G25" s="568"/>
      <c r="H25" s="568"/>
      <c r="I25" s="568"/>
      <c r="J25" s="568"/>
      <c r="K25" s="568"/>
      <c r="L25" s="569"/>
      <c r="M25" s="569"/>
      <c r="N25" s="569"/>
      <c r="O25" s="569"/>
      <c r="P25" s="406"/>
      <c r="R25" s="131">
        <f t="shared" si="0"/>
        <v>18</v>
      </c>
    </row>
    <row r="26" spans="1:18" ht="20.100000000000001" customHeight="1">
      <c r="A26" s="418"/>
      <c r="B26" s="250"/>
      <c r="C26" s="250"/>
      <c r="D26" s="467"/>
      <c r="E26" s="467"/>
      <c r="F26" s="568"/>
      <c r="G26" s="568"/>
      <c r="H26" s="568"/>
      <c r="I26" s="568"/>
      <c r="J26" s="568"/>
      <c r="K26" s="568"/>
      <c r="L26" s="569"/>
      <c r="M26" s="569"/>
      <c r="N26" s="569"/>
      <c r="O26" s="569"/>
      <c r="P26" s="406"/>
      <c r="R26" s="131">
        <f t="shared" si="0"/>
        <v>19</v>
      </c>
    </row>
    <row r="27" spans="1:18" ht="20.100000000000001" customHeight="1">
      <c r="A27" s="418"/>
      <c r="B27" s="250"/>
      <c r="C27" s="250"/>
      <c r="D27" s="467"/>
      <c r="E27" s="467"/>
      <c r="F27" s="568"/>
      <c r="G27" s="568"/>
      <c r="H27" s="568"/>
      <c r="I27" s="568"/>
      <c r="J27" s="568"/>
      <c r="K27" s="568"/>
      <c r="L27" s="569"/>
      <c r="M27" s="569"/>
      <c r="N27" s="569"/>
      <c r="O27" s="569"/>
      <c r="P27" s="406"/>
      <c r="R27" s="131">
        <f t="shared" si="0"/>
        <v>20</v>
      </c>
    </row>
    <row r="28" spans="1:18" ht="20.100000000000001" customHeight="1">
      <c r="A28" s="418"/>
      <c r="B28" s="250"/>
      <c r="C28" s="250"/>
      <c r="D28" s="467"/>
      <c r="E28" s="467"/>
      <c r="F28" s="568"/>
      <c r="G28" s="568"/>
      <c r="H28" s="568"/>
      <c r="I28" s="568"/>
      <c r="J28" s="568"/>
      <c r="K28" s="568"/>
      <c r="L28" s="569"/>
      <c r="M28" s="569"/>
      <c r="N28" s="569"/>
      <c r="O28" s="569"/>
      <c r="P28" s="406"/>
      <c r="R28" s="131">
        <f t="shared" si="0"/>
        <v>21</v>
      </c>
    </row>
    <row r="29" spans="1:18" ht="20.100000000000001" customHeight="1">
      <c r="A29" s="418"/>
      <c r="B29" s="250"/>
      <c r="C29" s="250"/>
      <c r="D29" s="467"/>
      <c r="E29" s="467"/>
      <c r="F29" s="568"/>
      <c r="G29" s="568"/>
      <c r="H29" s="568"/>
      <c r="I29" s="568"/>
      <c r="J29" s="568"/>
      <c r="K29" s="568"/>
      <c r="L29" s="569"/>
      <c r="M29" s="569"/>
      <c r="N29" s="569"/>
      <c r="O29" s="569"/>
      <c r="P29" s="406"/>
      <c r="R29" s="131">
        <f t="shared" si="0"/>
        <v>22</v>
      </c>
    </row>
    <row r="30" spans="1:18" ht="20.100000000000001" customHeight="1">
      <c r="A30" s="418"/>
      <c r="B30" s="250"/>
      <c r="C30" s="250"/>
      <c r="D30" s="467"/>
      <c r="E30" s="467"/>
      <c r="F30" s="568"/>
      <c r="G30" s="568"/>
      <c r="H30" s="568"/>
      <c r="I30" s="568"/>
      <c r="J30" s="568"/>
      <c r="K30" s="568"/>
      <c r="L30" s="569"/>
      <c r="M30" s="569"/>
      <c r="N30" s="569"/>
      <c r="O30" s="569"/>
      <c r="P30" s="406"/>
      <c r="R30" s="131">
        <f t="shared" si="0"/>
        <v>23</v>
      </c>
    </row>
    <row r="31" spans="1:18" ht="20.100000000000001" customHeight="1">
      <c r="A31" s="418"/>
      <c r="B31" s="250"/>
      <c r="C31" s="250"/>
      <c r="D31" s="467"/>
      <c r="E31" s="467"/>
      <c r="F31" s="568"/>
      <c r="G31" s="568"/>
      <c r="H31" s="568"/>
      <c r="I31" s="568"/>
      <c r="J31" s="568"/>
      <c r="K31" s="568"/>
      <c r="L31" s="569"/>
      <c r="M31" s="569"/>
      <c r="N31" s="569"/>
      <c r="O31" s="569"/>
      <c r="P31" s="406"/>
      <c r="R31" s="131">
        <f t="shared" si="0"/>
        <v>24</v>
      </c>
    </row>
    <row r="32" spans="1:18" ht="20.100000000000001" customHeight="1">
      <c r="A32" s="418"/>
      <c r="B32" s="250"/>
      <c r="C32" s="250"/>
      <c r="D32" s="467"/>
      <c r="E32" s="467"/>
      <c r="F32" s="568"/>
      <c r="G32" s="568"/>
      <c r="H32" s="568"/>
      <c r="I32" s="568"/>
      <c r="J32" s="568"/>
      <c r="K32" s="568"/>
      <c r="L32" s="569"/>
      <c r="M32" s="569"/>
      <c r="N32" s="569"/>
      <c r="O32" s="569"/>
      <c r="P32" s="406"/>
      <c r="R32" s="131">
        <f t="shared" si="0"/>
        <v>25</v>
      </c>
    </row>
    <row r="33" spans="1:18" ht="20.100000000000001" customHeight="1">
      <c r="A33" s="418"/>
      <c r="B33" s="250"/>
      <c r="C33" s="250"/>
      <c r="D33" s="467"/>
      <c r="E33" s="467"/>
      <c r="F33" s="568"/>
      <c r="G33" s="568"/>
      <c r="H33" s="568"/>
      <c r="I33" s="568"/>
      <c r="J33" s="568"/>
      <c r="K33" s="568"/>
      <c r="L33" s="569"/>
      <c r="M33" s="569"/>
      <c r="N33" s="569"/>
      <c r="O33" s="569"/>
      <c r="P33" s="406"/>
      <c r="R33" s="131">
        <f t="shared" si="0"/>
        <v>26</v>
      </c>
    </row>
    <row r="34" spans="1:18" ht="20.100000000000001" customHeight="1">
      <c r="A34" s="418"/>
      <c r="B34" s="250"/>
      <c r="C34" s="250"/>
      <c r="D34" s="467"/>
      <c r="E34" s="467"/>
      <c r="F34" s="568"/>
      <c r="G34" s="568"/>
      <c r="H34" s="568"/>
      <c r="I34" s="568"/>
      <c r="J34" s="568"/>
      <c r="K34" s="568"/>
      <c r="L34" s="569"/>
      <c r="M34" s="569"/>
      <c r="N34" s="569"/>
      <c r="O34" s="569"/>
      <c r="P34" s="406"/>
      <c r="R34" s="131">
        <f t="shared" si="0"/>
        <v>27</v>
      </c>
    </row>
    <row r="35" spans="1:18" ht="20.100000000000001" customHeight="1">
      <c r="A35" s="418"/>
      <c r="B35" s="250"/>
      <c r="C35" s="250"/>
      <c r="D35" s="467"/>
      <c r="E35" s="467"/>
      <c r="F35" s="568"/>
      <c r="G35" s="568"/>
      <c r="H35" s="568"/>
      <c r="I35" s="568"/>
      <c r="J35" s="568"/>
      <c r="K35" s="568"/>
      <c r="L35" s="569"/>
      <c r="M35" s="569"/>
      <c r="N35" s="569"/>
      <c r="O35" s="569"/>
      <c r="P35" s="406"/>
      <c r="R35" s="131">
        <f t="shared" si="0"/>
        <v>28</v>
      </c>
    </row>
    <row r="36" spans="1:18" ht="20.100000000000001" customHeight="1">
      <c r="A36" s="418"/>
      <c r="B36" s="250"/>
      <c r="C36" s="250"/>
      <c r="D36" s="467"/>
      <c r="E36" s="467"/>
      <c r="F36" s="568"/>
      <c r="G36" s="568"/>
      <c r="H36" s="568"/>
      <c r="I36" s="568"/>
      <c r="J36" s="568"/>
      <c r="K36" s="568"/>
      <c r="L36" s="569"/>
      <c r="M36" s="569"/>
      <c r="N36" s="569"/>
      <c r="O36" s="569"/>
      <c r="P36" s="406"/>
      <c r="R36" s="131">
        <f t="shared" si="0"/>
        <v>29</v>
      </c>
    </row>
    <row r="37" spans="1:18" ht="20.100000000000001" customHeight="1">
      <c r="A37" s="418"/>
      <c r="B37" s="250"/>
      <c r="C37" s="250"/>
      <c r="D37" s="467"/>
      <c r="E37" s="467"/>
      <c r="F37" s="568"/>
      <c r="G37" s="568"/>
      <c r="H37" s="568"/>
      <c r="I37" s="568"/>
      <c r="J37" s="568"/>
      <c r="K37" s="568"/>
      <c r="L37" s="569"/>
      <c r="M37" s="569"/>
      <c r="N37" s="569"/>
      <c r="O37" s="569"/>
      <c r="P37" s="406"/>
      <c r="R37" s="131">
        <f t="shared" si="0"/>
        <v>30</v>
      </c>
    </row>
    <row r="38" spans="1:18" ht="20.100000000000001" customHeight="1">
      <c r="A38" s="418"/>
      <c r="B38" s="250"/>
      <c r="C38" s="250"/>
      <c r="D38" s="467"/>
      <c r="E38" s="467"/>
      <c r="F38" s="568"/>
      <c r="G38" s="568"/>
      <c r="H38" s="568"/>
      <c r="I38" s="568"/>
      <c r="J38" s="568"/>
      <c r="K38" s="568"/>
      <c r="L38" s="569"/>
      <c r="M38" s="569"/>
      <c r="N38" s="569"/>
      <c r="O38" s="569"/>
      <c r="P38" s="406"/>
      <c r="R38" s="131">
        <f t="shared" si="0"/>
        <v>31</v>
      </c>
    </row>
    <row r="39" spans="1:18" ht="20.100000000000001" customHeight="1">
      <c r="A39" s="418"/>
      <c r="B39" s="250"/>
      <c r="C39" s="250"/>
      <c r="D39" s="467"/>
      <c r="E39" s="467"/>
      <c r="F39" s="568"/>
      <c r="G39" s="568"/>
      <c r="H39" s="568"/>
      <c r="I39" s="568"/>
      <c r="J39" s="568"/>
      <c r="K39" s="568"/>
      <c r="L39" s="569"/>
      <c r="M39" s="569"/>
      <c r="N39" s="569"/>
      <c r="O39" s="569"/>
      <c r="P39" s="406"/>
      <c r="R39" s="131">
        <f t="shared" si="0"/>
        <v>32</v>
      </c>
    </row>
    <row r="40" spans="1:18" ht="20.100000000000001" customHeight="1">
      <c r="A40" s="418"/>
      <c r="B40" s="250"/>
      <c r="C40" s="250"/>
      <c r="D40" s="467"/>
      <c r="E40" s="467"/>
      <c r="F40" s="568"/>
      <c r="G40" s="568"/>
      <c r="H40" s="568"/>
      <c r="I40" s="568"/>
      <c r="J40" s="568"/>
      <c r="K40" s="568"/>
      <c r="L40" s="569"/>
      <c r="M40" s="569"/>
      <c r="N40" s="569"/>
      <c r="O40" s="569"/>
      <c r="P40" s="406"/>
      <c r="R40" s="131">
        <f t="shared" si="0"/>
        <v>33</v>
      </c>
    </row>
    <row r="41" spans="1:18" ht="20.100000000000001" customHeight="1">
      <c r="A41" s="418"/>
      <c r="B41" s="250"/>
      <c r="C41" s="250"/>
      <c r="D41" s="467"/>
      <c r="E41" s="467"/>
      <c r="F41" s="568"/>
      <c r="G41" s="568"/>
      <c r="H41" s="568"/>
      <c r="I41" s="568"/>
      <c r="J41" s="568"/>
      <c r="K41" s="568"/>
      <c r="L41" s="569"/>
      <c r="M41" s="569"/>
      <c r="N41" s="569"/>
      <c r="O41" s="569"/>
      <c r="P41" s="406"/>
      <c r="R41" s="131">
        <f t="shared" ref="R41:R66" si="1">R40+1</f>
        <v>34</v>
      </c>
    </row>
    <row r="42" spans="1:18" ht="20.100000000000001" customHeight="1">
      <c r="A42" s="418"/>
      <c r="B42" s="250"/>
      <c r="C42" s="250"/>
      <c r="D42" s="467"/>
      <c r="E42" s="467"/>
      <c r="F42" s="568"/>
      <c r="G42" s="568"/>
      <c r="H42" s="568"/>
      <c r="I42" s="568"/>
      <c r="J42" s="568"/>
      <c r="K42" s="568"/>
      <c r="L42" s="569"/>
      <c r="M42" s="569"/>
      <c r="N42" s="569"/>
      <c r="O42" s="569"/>
      <c r="P42" s="406"/>
      <c r="R42" s="131">
        <f t="shared" si="1"/>
        <v>35</v>
      </c>
    </row>
    <row r="43" spans="1:18" ht="20.100000000000001" customHeight="1">
      <c r="A43" s="418"/>
      <c r="B43" s="250"/>
      <c r="C43" s="250"/>
      <c r="D43" s="467"/>
      <c r="E43" s="467"/>
      <c r="F43" s="568"/>
      <c r="G43" s="568"/>
      <c r="H43" s="568"/>
      <c r="I43" s="568"/>
      <c r="J43" s="568"/>
      <c r="K43" s="568"/>
      <c r="L43" s="569"/>
      <c r="M43" s="569"/>
      <c r="N43" s="569"/>
      <c r="O43" s="569"/>
      <c r="P43" s="406"/>
      <c r="R43" s="131">
        <f t="shared" si="1"/>
        <v>36</v>
      </c>
    </row>
    <row r="44" spans="1:18" ht="20.100000000000001" customHeight="1">
      <c r="A44" s="418"/>
      <c r="B44" s="250"/>
      <c r="C44" s="250"/>
      <c r="D44" s="467"/>
      <c r="E44" s="467"/>
      <c r="F44" s="568"/>
      <c r="G44" s="568"/>
      <c r="H44" s="568"/>
      <c r="I44" s="568"/>
      <c r="J44" s="568"/>
      <c r="K44" s="568"/>
      <c r="L44" s="569"/>
      <c r="M44" s="569"/>
      <c r="N44" s="569"/>
      <c r="O44" s="569"/>
      <c r="P44" s="406"/>
      <c r="R44" s="131">
        <f t="shared" si="1"/>
        <v>37</v>
      </c>
    </row>
    <row r="45" spans="1:18" ht="20.100000000000001" customHeight="1">
      <c r="A45" s="418"/>
      <c r="B45" s="250"/>
      <c r="C45" s="250"/>
      <c r="D45" s="467"/>
      <c r="E45" s="467"/>
      <c r="F45" s="568"/>
      <c r="G45" s="568"/>
      <c r="H45" s="568"/>
      <c r="I45" s="568"/>
      <c r="J45" s="568"/>
      <c r="K45" s="568"/>
      <c r="L45" s="569"/>
      <c r="M45" s="569"/>
      <c r="N45" s="569"/>
      <c r="O45" s="569"/>
      <c r="P45" s="406"/>
      <c r="R45" s="131">
        <f t="shared" si="1"/>
        <v>38</v>
      </c>
    </row>
    <row r="46" spans="1:18" ht="20.100000000000001" customHeight="1">
      <c r="A46" s="418"/>
      <c r="B46" s="250"/>
      <c r="C46" s="250"/>
      <c r="D46" s="467"/>
      <c r="E46" s="467"/>
      <c r="F46" s="568"/>
      <c r="G46" s="568"/>
      <c r="H46" s="568"/>
      <c r="I46" s="568"/>
      <c r="J46" s="568"/>
      <c r="K46" s="568"/>
      <c r="L46" s="569"/>
      <c r="M46" s="569"/>
      <c r="N46" s="569"/>
      <c r="O46" s="569"/>
      <c r="P46" s="406"/>
      <c r="R46" s="131">
        <f t="shared" si="1"/>
        <v>39</v>
      </c>
    </row>
    <row r="47" spans="1:18" ht="20.100000000000001" customHeight="1">
      <c r="A47" s="418"/>
      <c r="B47" s="250"/>
      <c r="C47" s="250"/>
      <c r="D47" s="467"/>
      <c r="E47" s="467"/>
      <c r="F47" s="568"/>
      <c r="G47" s="568"/>
      <c r="H47" s="568"/>
      <c r="I47" s="568"/>
      <c r="J47" s="568"/>
      <c r="K47" s="568"/>
      <c r="L47" s="569"/>
      <c r="M47" s="569"/>
      <c r="N47" s="569"/>
      <c r="O47" s="569"/>
      <c r="P47" s="406"/>
      <c r="R47" s="131">
        <f t="shared" si="1"/>
        <v>40</v>
      </c>
    </row>
    <row r="48" spans="1:18" ht="20.100000000000001" customHeight="1">
      <c r="A48" s="418"/>
      <c r="B48" s="250"/>
      <c r="C48" s="250"/>
      <c r="D48" s="467"/>
      <c r="E48" s="467"/>
      <c r="F48" s="568"/>
      <c r="G48" s="568"/>
      <c r="H48" s="568"/>
      <c r="I48" s="568"/>
      <c r="J48" s="568"/>
      <c r="K48" s="568"/>
      <c r="L48" s="569"/>
      <c r="M48" s="569"/>
      <c r="N48" s="569"/>
      <c r="O48" s="569"/>
      <c r="P48" s="406"/>
      <c r="R48" s="131">
        <f t="shared" si="1"/>
        <v>41</v>
      </c>
    </row>
    <row r="49" spans="1:18" ht="20.100000000000001" customHeight="1">
      <c r="A49" s="418"/>
      <c r="B49" s="250"/>
      <c r="C49" s="250"/>
      <c r="D49" s="467"/>
      <c r="E49" s="467"/>
      <c r="F49" s="568"/>
      <c r="G49" s="568"/>
      <c r="H49" s="568"/>
      <c r="I49" s="568"/>
      <c r="J49" s="568"/>
      <c r="K49" s="568"/>
      <c r="L49" s="569"/>
      <c r="M49" s="569"/>
      <c r="N49" s="569"/>
      <c r="O49" s="569"/>
      <c r="P49" s="406"/>
      <c r="R49" s="131">
        <f t="shared" si="1"/>
        <v>42</v>
      </c>
    </row>
    <row r="50" spans="1:18" ht="20.100000000000001" customHeight="1">
      <c r="A50" s="418"/>
      <c r="B50" s="250"/>
      <c r="C50" s="250"/>
      <c r="D50" s="467"/>
      <c r="E50" s="467"/>
      <c r="F50" s="568"/>
      <c r="G50" s="568"/>
      <c r="H50" s="568"/>
      <c r="I50" s="568"/>
      <c r="J50" s="568"/>
      <c r="K50" s="568"/>
      <c r="L50" s="569"/>
      <c r="M50" s="569"/>
      <c r="N50" s="569"/>
      <c r="O50" s="569"/>
      <c r="P50" s="406"/>
      <c r="R50" s="131">
        <f t="shared" si="1"/>
        <v>43</v>
      </c>
    </row>
    <row r="51" spans="1:18" ht="20.100000000000001" customHeight="1">
      <c r="A51" s="418"/>
      <c r="B51" s="250"/>
      <c r="C51" s="250"/>
      <c r="D51" s="467"/>
      <c r="E51" s="467"/>
      <c r="F51" s="568"/>
      <c r="G51" s="568"/>
      <c r="H51" s="568"/>
      <c r="I51" s="568"/>
      <c r="J51" s="568"/>
      <c r="K51" s="568"/>
      <c r="L51" s="569"/>
      <c r="M51" s="569"/>
      <c r="N51" s="569"/>
      <c r="O51" s="569"/>
      <c r="P51" s="406"/>
      <c r="R51" s="131">
        <f t="shared" si="1"/>
        <v>44</v>
      </c>
    </row>
    <row r="52" spans="1:18" ht="20.100000000000001" customHeight="1">
      <c r="A52" s="418"/>
      <c r="B52" s="250"/>
      <c r="C52" s="250"/>
      <c r="D52" s="467"/>
      <c r="E52" s="467"/>
      <c r="F52" s="568"/>
      <c r="G52" s="568"/>
      <c r="H52" s="568"/>
      <c r="I52" s="568"/>
      <c r="J52" s="568"/>
      <c r="K52" s="568"/>
      <c r="L52" s="569"/>
      <c r="M52" s="569"/>
      <c r="N52" s="569"/>
      <c r="O52" s="569"/>
      <c r="P52" s="406"/>
      <c r="R52" s="131">
        <f t="shared" si="1"/>
        <v>45</v>
      </c>
    </row>
    <row r="53" spans="1:18" ht="20.100000000000001" customHeight="1">
      <c r="A53" s="418"/>
      <c r="B53" s="250"/>
      <c r="C53" s="250"/>
      <c r="D53" s="467"/>
      <c r="E53" s="467"/>
      <c r="F53" s="568"/>
      <c r="G53" s="568"/>
      <c r="H53" s="568"/>
      <c r="I53" s="568"/>
      <c r="J53" s="568"/>
      <c r="K53" s="568"/>
      <c r="L53" s="569"/>
      <c r="M53" s="569"/>
      <c r="N53" s="569"/>
      <c r="O53" s="569"/>
      <c r="P53" s="406"/>
      <c r="R53" s="131">
        <f t="shared" si="1"/>
        <v>46</v>
      </c>
    </row>
    <row r="54" spans="1:18" ht="20.100000000000001" customHeight="1">
      <c r="A54" s="418"/>
      <c r="B54" s="250"/>
      <c r="C54" s="250"/>
      <c r="D54" s="467"/>
      <c r="E54" s="467"/>
      <c r="F54" s="568"/>
      <c r="G54" s="568"/>
      <c r="H54" s="568"/>
      <c r="I54" s="568"/>
      <c r="J54" s="568"/>
      <c r="K54" s="568"/>
      <c r="L54" s="569"/>
      <c r="M54" s="569"/>
      <c r="N54" s="569"/>
      <c r="O54" s="569"/>
      <c r="P54" s="406"/>
      <c r="R54" s="131">
        <f t="shared" si="1"/>
        <v>47</v>
      </c>
    </row>
    <row r="55" spans="1:18" ht="20.100000000000001" customHeight="1">
      <c r="A55" s="418"/>
      <c r="B55" s="250"/>
      <c r="C55" s="250"/>
      <c r="D55" s="467"/>
      <c r="E55" s="467"/>
      <c r="F55" s="568"/>
      <c r="G55" s="568"/>
      <c r="H55" s="568"/>
      <c r="I55" s="568"/>
      <c r="J55" s="568"/>
      <c r="K55" s="568"/>
      <c r="L55" s="569"/>
      <c r="M55" s="569"/>
      <c r="N55" s="569"/>
      <c r="O55" s="569"/>
      <c r="P55" s="406"/>
      <c r="R55" s="131">
        <f t="shared" si="1"/>
        <v>48</v>
      </c>
    </row>
    <row r="56" spans="1:18" ht="20.100000000000001" customHeight="1">
      <c r="A56" s="418"/>
      <c r="B56" s="250"/>
      <c r="C56" s="250"/>
      <c r="D56" s="467"/>
      <c r="E56" s="467"/>
      <c r="F56" s="568"/>
      <c r="G56" s="568"/>
      <c r="H56" s="568"/>
      <c r="I56" s="568"/>
      <c r="J56" s="568"/>
      <c r="K56" s="568"/>
      <c r="L56" s="569"/>
      <c r="M56" s="569"/>
      <c r="N56" s="569"/>
      <c r="O56" s="569"/>
      <c r="P56" s="406"/>
      <c r="R56" s="131">
        <f t="shared" si="1"/>
        <v>49</v>
      </c>
    </row>
    <row r="57" spans="1:18" ht="20.100000000000001" customHeight="1">
      <c r="A57" s="418"/>
      <c r="B57" s="250"/>
      <c r="C57" s="250"/>
      <c r="D57" s="467"/>
      <c r="E57" s="467"/>
      <c r="F57" s="568"/>
      <c r="G57" s="568"/>
      <c r="H57" s="568"/>
      <c r="I57" s="568"/>
      <c r="J57" s="568"/>
      <c r="K57" s="568"/>
      <c r="L57" s="569"/>
      <c r="M57" s="569"/>
      <c r="N57" s="569"/>
      <c r="O57" s="569"/>
      <c r="P57" s="406"/>
      <c r="R57" s="131">
        <f t="shared" si="1"/>
        <v>50</v>
      </c>
    </row>
    <row r="58" spans="1:18" ht="20.100000000000001" customHeight="1">
      <c r="A58" s="418"/>
      <c r="B58" s="250"/>
      <c r="C58" s="250"/>
      <c r="D58" s="467"/>
      <c r="E58" s="467"/>
      <c r="F58" s="568"/>
      <c r="G58" s="568"/>
      <c r="H58" s="568"/>
      <c r="I58" s="568"/>
      <c r="J58" s="568"/>
      <c r="K58" s="568"/>
      <c r="L58" s="569"/>
      <c r="M58" s="569"/>
      <c r="N58" s="569"/>
      <c r="O58" s="569"/>
      <c r="P58" s="406"/>
      <c r="R58" s="131">
        <f t="shared" si="1"/>
        <v>51</v>
      </c>
    </row>
    <row r="59" spans="1:18" ht="20.100000000000001" customHeight="1">
      <c r="A59" s="418"/>
      <c r="B59" s="250"/>
      <c r="C59" s="250"/>
      <c r="D59" s="467"/>
      <c r="E59" s="467"/>
      <c r="F59" s="568"/>
      <c r="G59" s="568"/>
      <c r="H59" s="568"/>
      <c r="I59" s="568"/>
      <c r="J59" s="568"/>
      <c r="K59" s="568"/>
      <c r="L59" s="569"/>
      <c r="M59" s="569"/>
      <c r="N59" s="569"/>
      <c r="O59" s="569"/>
      <c r="P59" s="406"/>
      <c r="R59" s="131">
        <f t="shared" si="1"/>
        <v>52</v>
      </c>
    </row>
    <row r="60" spans="1:18" ht="20.100000000000001" customHeight="1">
      <c r="A60" s="418"/>
      <c r="B60" s="250"/>
      <c r="C60" s="250"/>
      <c r="D60" s="467"/>
      <c r="E60" s="467"/>
      <c r="F60" s="568"/>
      <c r="G60" s="568"/>
      <c r="H60" s="568"/>
      <c r="I60" s="568"/>
      <c r="J60" s="568"/>
      <c r="K60" s="568"/>
      <c r="L60" s="569"/>
      <c r="M60" s="569"/>
      <c r="N60" s="569"/>
      <c r="O60" s="569"/>
      <c r="P60" s="406"/>
      <c r="R60" s="131">
        <f t="shared" si="1"/>
        <v>53</v>
      </c>
    </row>
    <row r="61" spans="1:18" ht="20.100000000000001" customHeight="1">
      <c r="A61" s="418"/>
      <c r="B61" s="250"/>
      <c r="C61" s="250"/>
      <c r="D61" s="467"/>
      <c r="E61" s="467"/>
      <c r="F61" s="568"/>
      <c r="G61" s="568"/>
      <c r="H61" s="568"/>
      <c r="I61" s="568"/>
      <c r="J61" s="568"/>
      <c r="K61" s="568"/>
      <c r="L61" s="569"/>
      <c r="M61" s="569"/>
      <c r="N61" s="569"/>
      <c r="O61" s="569"/>
      <c r="P61" s="406"/>
      <c r="R61" s="131">
        <f t="shared" si="1"/>
        <v>54</v>
      </c>
    </row>
    <row r="62" spans="1:18" ht="20.100000000000001" customHeight="1">
      <c r="A62" s="418"/>
      <c r="B62" s="250"/>
      <c r="C62" s="250"/>
      <c r="D62" s="467"/>
      <c r="E62" s="467"/>
      <c r="F62" s="568"/>
      <c r="G62" s="568"/>
      <c r="H62" s="568"/>
      <c r="I62" s="568"/>
      <c r="J62" s="568"/>
      <c r="K62" s="568"/>
      <c r="L62" s="569"/>
      <c r="M62" s="569"/>
      <c r="N62" s="569"/>
      <c r="O62" s="569"/>
      <c r="P62" s="406"/>
      <c r="R62" s="131">
        <f t="shared" si="1"/>
        <v>55</v>
      </c>
    </row>
    <row r="63" spans="1:18" ht="20.100000000000001" customHeight="1">
      <c r="A63" s="418"/>
      <c r="B63" s="250"/>
      <c r="C63" s="250"/>
      <c r="D63" s="467"/>
      <c r="E63" s="467"/>
      <c r="F63" s="568"/>
      <c r="G63" s="568"/>
      <c r="H63" s="568"/>
      <c r="I63" s="568"/>
      <c r="J63" s="568"/>
      <c r="K63" s="568"/>
      <c r="L63" s="569"/>
      <c r="M63" s="569"/>
      <c r="N63" s="569"/>
      <c r="O63" s="569"/>
      <c r="P63" s="406"/>
      <c r="R63" s="131">
        <f t="shared" si="1"/>
        <v>56</v>
      </c>
    </row>
    <row r="64" spans="1:18" ht="20.100000000000001" customHeight="1">
      <c r="A64" s="418"/>
      <c r="B64" s="250"/>
      <c r="C64" s="250"/>
      <c r="D64" s="467"/>
      <c r="E64" s="467"/>
      <c r="F64" s="568"/>
      <c r="G64" s="568"/>
      <c r="H64" s="568"/>
      <c r="I64" s="568"/>
      <c r="J64" s="568"/>
      <c r="K64" s="568"/>
      <c r="L64" s="569"/>
      <c r="M64" s="569"/>
      <c r="N64" s="569"/>
      <c r="O64" s="569"/>
      <c r="P64" s="406"/>
      <c r="R64" s="131">
        <f t="shared" si="1"/>
        <v>57</v>
      </c>
    </row>
    <row r="65" spans="1:18" ht="20.100000000000001" customHeight="1">
      <c r="A65" s="418"/>
      <c r="B65" s="250"/>
      <c r="C65" s="250"/>
      <c r="D65" s="467"/>
      <c r="E65" s="467"/>
      <c r="F65" s="568"/>
      <c r="G65" s="568"/>
      <c r="H65" s="568"/>
      <c r="I65" s="568"/>
      <c r="J65" s="568"/>
      <c r="K65" s="568"/>
      <c r="L65" s="569"/>
      <c r="M65" s="569"/>
      <c r="N65" s="569"/>
      <c r="O65" s="569"/>
      <c r="P65" s="406"/>
      <c r="R65" s="131">
        <f t="shared" si="1"/>
        <v>58</v>
      </c>
    </row>
    <row r="66" spans="1:18" ht="20.100000000000001" customHeight="1">
      <c r="A66" s="418"/>
      <c r="B66" s="250"/>
      <c r="C66" s="250"/>
      <c r="D66" s="467"/>
      <c r="E66" s="467"/>
      <c r="F66" s="568"/>
      <c r="G66" s="568"/>
      <c r="H66" s="568"/>
      <c r="I66" s="568"/>
      <c r="J66" s="568"/>
      <c r="K66" s="568"/>
      <c r="L66" s="569"/>
      <c r="M66" s="569"/>
      <c r="N66" s="569"/>
      <c r="O66" s="569"/>
      <c r="P66" s="406"/>
      <c r="R66" s="131">
        <f t="shared" si="1"/>
        <v>59</v>
      </c>
    </row>
    <row r="67" spans="1:18" ht="20.100000000000001" customHeight="1">
      <c r="A67" s="418"/>
      <c r="B67" s="250"/>
      <c r="C67" s="250"/>
      <c r="D67" s="467"/>
      <c r="E67" s="467"/>
      <c r="F67" s="568"/>
      <c r="G67" s="568"/>
      <c r="H67" s="568"/>
      <c r="I67" s="568"/>
      <c r="J67" s="568"/>
      <c r="K67" s="568"/>
      <c r="L67" s="569"/>
      <c r="M67" s="569"/>
      <c r="N67" s="569"/>
      <c r="O67" s="569"/>
      <c r="P67" s="406"/>
    </row>
    <row r="68" spans="1:18" ht="20.100000000000001" customHeight="1">
      <c r="A68" s="418"/>
      <c r="B68" s="250"/>
      <c r="C68" s="250"/>
      <c r="D68" s="467"/>
      <c r="E68" s="467"/>
      <c r="F68" s="568"/>
      <c r="G68" s="568"/>
      <c r="H68" s="568"/>
      <c r="I68" s="568"/>
      <c r="J68" s="568"/>
      <c r="K68" s="568"/>
      <c r="L68" s="569"/>
      <c r="M68" s="569"/>
      <c r="N68" s="569"/>
      <c r="O68" s="569"/>
      <c r="P68" s="406"/>
    </row>
    <row r="69" spans="1:18" ht="20.100000000000001" customHeight="1">
      <c r="A69" s="418"/>
      <c r="B69" s="250"/>
      <c r="C69" s="250"/>
      <c r="D69" s="467"/>
      <c r="E69" s="467"/>
      <c r="F69" s="568"/>
      <c r="G69" s="568"/>
      <c r="H69" s="568"/>
      <c r="I69" s="568"/>
      <c r="J69" s="568"/>
      <c r="K69" s="568"/>
      <c r="L69" s="569"/>
      <c r="M69" s="569"/>
      <c r="N69" s="569"/>
      <c r="O69" s="569"/>
      <c r="P69" s="406"/>
    </row>
    <row r="70" spans="1:18" ht="20.100000000000001" customHeight="1">
      <c r="A70" s="418"/>
      <c r="B70" s="250"/>
      <c r="C70" s="250"/>
      <c r="D70" s="467"/>
      <c r="E70" s="467"/>
      <c r="F70" s="568"/>
      <c r="G70" s="568"/>
      <c r="H70" s="568"/>
      <c r="I70" s="568"/>
      <c r="J70" s="568"/>
      <c r="K70" s="568"/>
      <c r="L70" s="569"/>
      <c r="M70" s="569"/>
      <c r="N70" s="569"/>
      <c r="O70" s="569"/>
      <c r="P70" s="406"/>
    </row>
    <row r="71" spans="1:18" ht="20.100000000000001" customHeight="1">
      <c r="A71" s="418"/>
      <c r="B71" s="250"/>
      <c r="C71" s="250"/>
      <c r="D71" s="467"/>
      <c r="E71" s="467"/>
      <c r="F71" s="568"/>
      <c r="G71" s="568"/>
      <c r="H71" s="568"/>
      <c r="I71" s="568"/>
      <c r="J71" s="568"/>
      <c r="K71" s="568"/>
      <c r="L71" s="569"/>
      <c r="M71" s="569"/>
      <c r="N71" s="569"/>
      <c r="O71" s="569"/>
      <c r="P71" s="406"/>
    </row>
    <row r="72" spans="1:18" ht="20.100000000000001" customHeight="1">
      <c r="A72" s="418"/>
      <c r="B72" s="250"/>
      <c r="C72" s="250"/>
      <c r="D72" s="467"/>
      <c r="E72" s="467"/>
      <c r="F72" s="568"/>
      <c r="G72" s="568"/>
      <c r="H72" s="568"/>
      <c r="I72" s="568"/>
      <c r="J72" s="568"/>
      <c r="K72" s="568"/>
      <c r="L72" s="569"/>
      <c r="M72" s="569"/>
      <c r="N72" s="569"/>
      <c r="O72" s="569"/>
      <c r="P72" s="406"/>
    </row>
    <row r="73" spans="1:18" ht="20.100000000000001" customHeight="1">
      <c r="A73" s="418"/>
      <c r="B73" s="250"/>
      <c r="C73" s="250"/>
      <c r="D73" s="467"/>
      <c r="E73" s="467"/>
      <c r="F73" s="568"/>
      <c r="G73" s="568"/>
      <c r="H73" s="568"/>
      <c r="I73" s="568"/>
      <c r="J73" s="568"/>
      <c r="K73" s="568"/>
      <c r="L73" s="569"/>
      <c r="M73" s="569"/>
      <c r="N73" s="569"/>
      <c r="O73" s="569"/>
      <c r="P73" s="406"/>
    </row>
    <row r="74" spans="1:18" ht="20.100000000000001" customHeight="1">
      <c r="A74" s="418"/>
      <c r="B74" s="250"/>
      <c r="C74" s="250"/>
      <c r="D74" s="467"/>
      <c r="E74" s="467"/>
      <c r="F74" s="568"/>
      <c r="G74" s="568"/>
      <c r="H74" s="568"/>
      <c r="I74" s="568"/>
      <c r="J74" s="568"/>
      <c r="K74" s="568"/>
      <c r="L74" s="569"/>
      <c r="M74" s="569"/>
      <c r="N74" s="569"/>
      <c r="O74" s="569"/>
      <c r="P74" s="406"/>
    </row>
    <row r="75" spans="1:18" ht="20.100000000000001" customHeight="1">
      <c r="A75" s="418"/>
      <c r="B75" s="250"/>
      <c r="C75" s="250"/>
      <c r="D75" s="467"/>
      <c r="E75" s="467"/>
      <c r="F75" s="568"/>
      <c r="G75" s="568"/>
      <c r="H75" s="568"/>
      <c r="I75" s="568"/>
      <c r="J75" s="568"/>
      <c r="K75" s="568"/>
      <c r="L75" s="569"/>
      <c r="M75" s="569"/>
      <c r="N75" s="569"/>
      <c r="O75" s="569"/>
      <c r="P75" s="406"/>
    </row>
    <row r="76" spans="1:18" ht="20.100000000000001" customHeight="1">
      <c r="A76" s="418"/>
      <c r="B76" s="250"/>
      <c r="C76" s="250"/>
      <c r="D76" s="467"/>
      <c r="E76" s="467"/>
      <c r="F76" s="568"/>
      <c r="G76" s="568"/>
      <c r="H76" s="568"/>
      <c r="I76" s="568"/>
      <c r="J76" s="568"/>
      <c r="K76" s="568"/>
      <c r="L76" s="569"/>
      <c r="M76" s="569"/>
      <c r="N76" s="569"/>
      <c r="O76" s="569"/>
      <c r="P76" s="406"/>
    </row>
    <row r="77" spans="1:18" ht="20.100000000000001" customHeight="1">
      <c r="A77" s="418"/>
      <c r="B77" s="250"/>
      <c r="C77" s="250"/>
      <c r="D77" s="467"/>
      <c r="E77" s="467"/>
      <c r="F77" s="568"/>
      <c r="G77" s="568"/>
      <c r="H77" s="568"/>
      <c r="I77" s="568"/>
      <c r="J77" s="568"/>
      <c r="K77" s="568"/>
      <c r="L77" s="569"/>
      <c r="M77" s="569"/>
      <c r="N77" s="569"/>
      <c r="O77" s="569"/>
      <c r="P77" s="406"/>
    </row>
    <row r="78" spans="1:18" ht="20.100000000000001" customHeight="1">
      <c r="A78" s="418"/>
      <c r="B78" s="250"/>
      <c r="C78" s="250"/>
      <c r="D78" s="467"/>
      <c r="E78" s="467"/>
      <c r="F78" s="568"/>
      <c r="G78" s="568"/>
      <c r="H78" s="568"/>
      <c r="I78" s="568"/>
      <c r="J78" s="568"/>
      <c r="K78" s="568"/>
      <c r="L78" s="569"/>
      <c r="M78" s="569"/>
      <c r="N78" s="569"/>
      <c r="O78" s="569"/>
      <c r="P78" s="406"/>
    </row>
    <row r="79" spans="1:18" ht="20.100000000000001" customHeight="1">
      <c r="A79" s="418"/>
      <c r="B79" s="250"/>
      <c r="C79" s="250"/>
      <c r="D79" s="467"/>
      <c r="E79" s="467"/>
      <c r="F79" s="568"/>
      <c r="G79" s="568"/>
      <c r="H79" s="568"/>
      <c r="I79" s="568"/>
      <c r="J79" s="568"/>
      <c r="K79" s="568"/>
      <c r="L79" s="569"/>
      <c r="M79" s="569"/>
      <c r="N79" s="569"/>
      <c r="O79" s="569"/>
      <c r="P79" s="406"/>
    </row>
    <row r="80" spans="1:18" ht="20.100000000000001" customHeight="1">
      <c r="A80" s="418"/>
      <c r="B80" s="250"/>
      <c r="C80" s="250"/>
      <c r="D80" s="467"/>
      <c r="E80" s="467"/>
      <c r="F80" s="568"/>
      <c r="G80" s="568"/>
      <c r="H80" s="568"/>
      <c r="I80" s="568"/>
      <c r="J80" s="568"/>
      <c r="K80" s="568"/>
      <c r="L80" s="569"/>
      <c r="M80" s="569"/>
      <c r="N80" s="569"/>
      <c r="O80" s="569"/>
      <c r="P80" s="406"/>
    </row>
    <row r="81" spans="1:18" ht="20.100000000000001" customHeight="1">
      <c r="A81" s="418"/>
      <c r="B81" s="250"/>
      <c r="C81" s="250"/>
      <c r="D81" s="467"/>
      <c r="E81" s="467"/>
      <c r="F81" s="568"/>
      <c r="G81" s="568"/>
      <c r="H81" s="568"/>
      <c r="I81" s="568"/>
      <c r="J81" s="568"/>
      <c r="K81" s="568"/>
      <c r="L81" s="569"/>
      <c r="M81" s="569"/>
      <c r="N81" s="569"/>
      <c r="O81" s="569"/>
      <c r="P81" s="406"/>
    </row>
    <row r="82" spans="1:18" ht="20.100000000000001" customHeight="1">
      <c r="A82" s="418"/>
      <c r="B82" s="250"/>
      <c r="C82" s="250"/>
      <c r="D82" s="467"/>
      <c r="E82" s="467"/>
      <c r="F82" s="568"/>
      <c r="G82" s="568"/>
      <c r="H82" s="568"/>
      <c r="I82" s="568"/>
      <c r="J82" s="568"/>
      <c r="K82" s="568"/>
      <c r="L82" s="569"/>
      <c r="M82" s="569"/>
      <c r="N82" s="569"/>
      <c r="O82" s="569"/>
      <c r="P82" s="406"/>
    </row>
    <row r="83" spans="1:18" ht="20.100000000000001" customHeight="1">
      <c r="A83" s="418"/>
      <c r="B83" s="250"/>
      <c r="C83" s="250"/>
      <c r="D83" s="467"/>
      <c r="E83" s="467"/>
      <c r="F83" s="568"/>
      <c r="G83" s="568"/>
      <c r="H83" s="568"/>
      <c r="I83" s="568"/>
      <c r="J83" s="568"/>
      <c r="K83" s="568"/>
      <c r="L83" s="569"/>
      <c r="M83" s="569"/>
      <c r="N83" s="569"/>
      <c r="O83" s="569"/>
      <c r="P83" s="406"/>
    </row>
    <row r="84" spans="1:18" ht="20.100000000000001" customHeight="1">
      <c r="A84" s="418"/>
      <c r="B84" s="250"/>
      <c r="C84" s="250"/>
      <c r="D84" s="467"/>
      <c r="E84" s="467"/>
      <c r="F84" s="568"/>
      <c r="G84" s="568"/>
      <c r="H84" s="568"/>
      <c r="I84" s="568"/>
      <c r="J84" s="568"/>
      <c r="K84" s="568"/>
      <c r="L84" s="569"/>
      <c r="M84" s="569"/>
      <c r="N84" s="569"/>
      <c r="O84" s="569"/>
      <c r="P84" s="406"/>
    </row>
    <row r="85" spans="1:18" ht="20.100000000000001" customHeight="1">
      <c r="A85" s="418"/>
      <c r="B85" s="250"/>
      <c r="C85" s="250"/>
      <c r="D85" s="467"/>
      <c r="E85" s="467"/>
      <c r="F85" s="568"/>
      <c r="G85" s="568"/>
      <c r="H85" s="568"/>
      <c r="I85" s="568"/>
      <c r="J85" s="568"/>
      <c r="K85" s="568"/>
      <c r="L85" s="569"/>
      <c r="M85" s="569"/>
      <c r="N85" s="569"/>
      <c r="O85" s="569"/>
      <c r="P85" s="406"/>
    </row>
    <row r="86" spans="1:18" ht="20.100000000000001" customHeight="1">
      <c r="A86" s="418"/>
      <c r="B86" s="250"/>
      <c r="C86" s="250"/>
      <c r="D86" s="467"/>
      <c r="E86" s="467"/>
      <c r="F86" s="568"/>
      <c r="G86" s="568"/>
      <c r="H86" s="568"/>
      <c r="I86" s="568"/>
      <c r="J86" s="568"/>
      <c r="K86" s="568"/>
      <c r="L86" s="569"/>
      <c r="M86" s="569"/>
      <c r="N86" s="569"/>
      <c r="O86" s="569"/>
      <c r="P86" s="406"/>
    </row>
    <row r="87" spans="1:18" ht="20.100000000000001" customHeight="1">
      <c r="A87" s="418"/>
      <c r="B87" s="250"/>
      <c r="C87" s="250"/>
      <c r="D87" s="467"/>
      <c r="E87" s="467"/>
      <c r="F87" s="568"/>
      <c r="G87" s="568"/>
      <c r="H87" s="568"/>
      <c r="I87" s="568"/>
      <c r="J87" s="568"/>
      <c r="K87" s="568"/>
      <c r="L87" s="569"/>
      <c r="M87" s="569"/>
      <c r="N87" s="569"/>
      <c r="O87" s="569"/>
      <c r="P87" s="406"/>
    </row>
    <row r="88" spans="1:18" ht="20.100000000000001" customHeight="1">
      <c r="A88" s="313"/>
      <c r="B88" s="256"/>
      <c r="C88" s="256"/>
      <c r="D88" s="467"/>
      <c r="E88" s="608"/>
      <c r="F88" s="570"/>
      <c r="G88" s="570"/>
      <c r="H88" s="570"/>
      <c r="I88" s="570"/>
      <c r="J88" s="570"/>
      <c r="K88" s="570"/>
      <c r="L88" s="571"/>
      <c r="M88" s="571"/>
      <c r="N88" s="571"/>
      <c r="O88" s="571"/>
      <c r="P88" s="408"/>
      <c r="R88" s="131">
        <f>R66+1</f>
        <v>60</v>
      </c>
    </row>
    <row r="89" spans="1:18" ht="20.100000000000001" customHeight="1" thickBot="1">
      <c r="A89" s="419" t="s">
        <v>876</v>
      </c>
      <c r="B89" s="420"/>
      <c r="C89" s="420"/>
      <c r="D89" s="420"/>
      <c r="E89" s="421"/>
      <c r="F89" s="572">
        <f>SUM(Alt_Emis_Summary[PM (lb/hr)])</f>
        <v>0</v>
      </c>
      <c r="G89" s="573">
        <f>SUM(Alt_Emis_Summary[PM (tpy)])</f>
        <v>0</v>
      </c>
      <c r="H89" s="573">
        <f>SUM(Alt_Emis_Summary[PM10 (lb/hr)])</f>
        <v>0</v>
      </c>
      <c r="I89" s="573">
        <f>SUM(Alt_Emis_Summary[PM10 (tpy)])</f>
        <v>0</v>
      </c>
      <c r="J89" s="573">
        <f>SUM(Alt_Emis_Summary[PM2.5 (lb/hr)])</f>
        <v>0</v>
      </c>
      <c r="K89" s="573">
        <f>SUM(Alt_Emis_Summary[PM2.5 (tpy)])</f>
        <v>0</v>
      </c>
      <c r="L89" s="574">
        <f>SUM(Alt_Emis_Summary[VOC (lb/hr)])</f>
        <v>0</v>
      </c>
      <c r="M89" s="574">
        <f>SUM(Alt_Emis_Summary[VOC (tpy)])</f>
        <v>0</v>
      </c>
      <c r="N89" s="574">
        <f>SUM(Alt_Emis_Summary[CO (lb/hr)])</f>
        <v>0</v>
      </c>
      <c r="O89" s="574">
        <f>SUM(Alt_Emis_Summary[CO (tpy)])</f>
        <v>0</v>
      </c>
      <c r="P89" s="521"/>
    </row>
    <row r="90" spans="1:18" ht="15.75" thickBot="1">
      <c r="A90" s="419" t="s">
        <v>1080</v>
      </c>
      <c r="B90" s="420"/>
      <c r="C90" s="420"/>
      <c r="D90" s="420"/>
      <c r="E90" s="421"/>
      <c r="F90" s="435"/>
      <c r="G90" s="436">
        <v>25</v>
      </c>
      <c r="H90" s="436"/>
      <c r="I90" s="436">
        <v>15</v>
      </c>
      <c r="J90" s="436"/>
      <c r="K90" s="436">
        <v>10</v>
      </c>
      <c r="L90" s="436"/>
      <c r="M90" s="436">
        <v>25</v>
      </c>
      <c r="N90" s="436"/>
      <c r="O90" s="437">
        <v>250</v>
      </c>
      <c r="P90" s="521"/>
    </row>
    <row r="91" spans="1:18" ht="20.100000000000001" customHeight="1" thickBot="1">
      <c r="A91" s="414" t="s">
        <v>895</v>
      </c>
      <c r="B91" s="415"/>
      <c r="C91" s="415"/>
      <c r="D91" s="415"/>
      <c r="E91" s="415"/>
      <c r="F91" s="416"/>
      <c r="G91" s="640" t="str">
        <f>IF(SUM(G97:P97)&gt;0,"Emissions exceed 106.4 thresholds and project does not qualify to be authorized under PBR. ", "Project individual and total emissions do not exceed the §106.4 threshold.")</f>
        <v>Project individual and total emissions do not exceed the §106.4 threshold.</v>
      </c>
      <c r="H91" s="727"/>
      <c r="I91" s="727"/>
      <c r="J91" s="727"/>
      <c r="K91" s="727"/>
      <c r="L91" s="727"/>
      <c r="M91" s="727"/>
      <c r="N91" s="727"/>
      <c r="O91" s="727"/>
      <c r="P91" s="641"/>
    </row>
    <row r="92" spans="1:18" ht="8.1" customHeight="1"/>
    <row r="93" spans="1:18">
      <c r="A93" s="690" t="str">
        <f>HYPERLINK("#Cover","End of Sheet. Click here to go to the Cover.")</f>
        <v>End of Sheet. Click here to go to the Cover.</v>
      </c>
      <c r="B93" s="644"/>
      <c r="C93" s="644"/>
      <c r="D93" s="644"/>
      <c r="E93" s="644"/>
      <c r="F93" s="644"/>
      <c r="G93" s="644"/>
      <c r="H93" s="644"/>
      <c r="I93" s="644"/>
      <c r="J93" s="644"/>
      <c r="K93" s="644"/>
      <c r="L93" s="644"/>
      <c r="M93" s="644"/>
      <c r="N93" s="644"/>
      <c r="O93" s="644"/>
      <c r="P93" s="644"/>
    </row>
    <row r="94" spans="1:18"/>
    <row r="95" spans="1:18" ht="22.5" hidden="1" customHeight="1"/>
    <row r="97" spans="1:16" hidden="1">
      <c r="D97" s="131" t="s">
        <v>960</v>
      </c>
      <c r="G97" s="131">
        <f t="shared" ref="G97" si="2">IF(G89&gt;G90,1,0)</f>
        <v>0</v>
      </c>
      <c r="H97" s="131">
        <f>IF(H89&gt;H90,1,0)</f>
        <v>0</v>
      </c>
      <c r="I97" s="131">
        <f t="shared" ref="I97:O97" si="3">IF(I89&gt;I90,1,0)</f>
        <v>0</v>
      </c>
      <c r="J97" s="131">
        <f t="shared" si="3"/>
        <v>0</v>
      </c>
      <c r="K97" s="131">
        <f t="shared" si="3"/>
        <v>0</v>
      </c>
      <c r="L97" s="131">
        <f t="shared" si="3"/>
        <v>0</v>
      </c>
      <c r="M97" s="131">
        <f t="shared" si="3"/>
        <v>0</v>
      </c>
      <c r="N97" s="131">
        <f t="shared" si="3"/>
        <v>0</v>
      </c>
      <c r="O97" s="131">
        <f t="shared" si="3"/>
        <v>0</v>
      </c>
      <c r="P97" s="131">
        <f t="shared" ref="P97" si="4">IF(P89&gt;P90,1,0)</f>
        <v>0</v>
      </c>
    </row>
    <row r="98" spans="1:16" hidden="1">
      <c r="A98" s="131" t="s">
        <v>964</v>
      </c>
      <c r="B98" s="131">
        <f>'Emission Summary'!A6</f>
        <v>0</v>
      </c>
    </row>
  </sheetData>
  <sheetProtection algorithmName="SHA-512" hashValue="dV48/tmuuL6W16jzScZTWClL0HEfHaVQ9GBvFZQ/53BzEf5R85G+S2FsR8NbA0phu+pdlkYz7KECuQwWfI41Nw==" saltValue="qTXxeEZo6iLefxYg0vuE1Q==" spinCount="100000" sheet="1" objects="1" scenarios="1" formatColumns="0" formatRows="0" autoFilter="0"/>
  <mergeCells count="4">
    <mergeCell ref="A1:P1"/>
    <mergeCell ref="A2:P3"/>
    <mergeCell ref="A93:P93"/>
    <mergeCell ref="G91:P91"/>
  </mergeCells>
  <phoneticPr fontId="50" type="noConversion"/>
  <conditionalFormatting sqref="A5">
    <cfRule type="expression" dxfId="5" priority="7">
      <formula>$B$12="yes"</formula>
    </cfRule>
  </conditionalFormatting>
  <conditionalFormatting sqref="A7:P91">
    <cfRule type="expression" dxfId="4" priority="1">
      <formula>OR($A$5="No",$B$98="Yes")</formula>
    </cfRule>
  </conditionalFormatting>
  <conditionalFormatting sqref="G8:G89 I8:I89 K8:K89 M8:M89 O8:O89">
    <cfRule type="expression" dxfId="3" priority="5">
      <formula>G8&gt;G$90</formula>
    </cfRule>
  </conditionalFormatting>
  <conditionalFormatting sqref="G8:G89 I8:I89 K8:K89 M8:M89 O8:O90">
    <cfRule type="expression" dxfId="2" priority="6">
      <formula>AND(G8&gt;F8*8760/2000,F8&gt;0)</formula>
    </cfRule>
  </conditionalFormatting>
  <dataValidations count="1">
    <dataValidation type="list" allowBlank="1" showErrorMessage="1" promptTitle="Major Source" prompt="Is this located at a federal NSR major source (PSD or NNSR)? " sqref="A5" xr:uid="{DA9853BE-0B3B-4032-AF68-323DEF045C39}">
      <formula1>"Yes, No"</formula1>
    </dataValidation>
  </dataValidations>
  <pageMargins left="0.7" right="0.7" top="0.75" bottom="0.75" header="0.3" footer="0.3"/>
  <pageSetup orientation="portrait"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1B603214-4D99-475F-AE7A-E3CFDCE9F145}">
          <x14:formula1>
            <xm:f>Reference!$A$62:$A$70</xm:f>
          </x14:formula1>
          <xm:sqref>D8:E88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013DE-381E-4AF9-81D4-002B2EA0ADFB}">
  <sheetPr codeName="Sheet16">
    <tabColor rgb="FFDCDCFF"/>
  </sheetPr>
  <dimension ref="A1:F33"/>
  <sheetViews>
    <sheetView showGridLines="0" zoomScaleNormal="100" workbookViewId="0"/>
  </sheetViews>
  <sheetFormatPr defaultRowHeight="14.25"/>
  <cols>
    <col min="1" max="1" width="101.42578125" style="134" customWidth="1"/>
    <col min="2" max="4" width="9.140625" style="131"/>
    <col min="5" max="5" width="17.85546875" style="131" customWidth="1"/>
    <col min="6" max="6" width="42.42578125" style="131" customWidth="1"/>
    <col min="7" max="16384" width="9.140625" style="131"/>
  </cols>
  <sheetData>
    <row r="1" spans="1:6" ht="18.75" thickBot="1">
      <c r="A1" s="576" t="s">
        <v>1068</v>
      </c>
    </row>
    <row r="2" spans="1:6" ht="15" thickBot="1"/>
    <row r="3" spans="1:6" ht="16.5" thickBot="1">
      <c r="A3" s="481" t="s">
        <v>1029</v>
      </c>
    </row>
    <row r="4" spans="1:6" ht="99" customHeight="1">
      <c r="A4" s="482" t="s">
        <v>1083</v>
      </c>
      <c r="F4" s="134"/>
    </row>
    <row r="5" spans="1:6" ht="123.75" customHeight="1" thickBot="1">
      <c r="A5" s="483" t="s">
        <v>1084</v>
      </c>
    </row>
    <row r="7" spans="1:6" ht="15" thickBot="1"/>
    <row r="8" spans="1:6" ht="16.5" thickBot="1">
      <c r="A8" s="481" t="s">
        <v>1030</v>
      </c>
    </row>
    <row r="9" spans="1:6" ht="177.75" customHeight="1">
      <c r="A9" s="482" t="s">
        <v>1031</v>
      </c>
      <c r="F9" s="369"/>
    </row>
    <row r="10" spans="1:6" ht="99.75" customHeight="1" thickBot="1">
      <c r="A10" s="483" t="s">
        <v>1032</v>
      </c>
    </row>
    <row r="11" spans="1:6" ht="15" thickBot="1">
      <c r="A11" s="229"/>
    </row>
    <row r="12" spans="1:6" ht="16.5" thickBot="1">
      <c r="A12" s="481" t="s">
        <v>1033</v>
      </c>
    </row>
    <row r="13" spans="1:6" ht="32.25" customHeight="1">
      <c r="A13" s="515" t="s">
        <v>1034</v>
      </c>
      <c r="F13" s="369"/>
    </row>
    <row r="14" spans="1:6">
      <c r="A14" s="621" t="str">
        <f>HYPERLINK("#iv.control_alt","Click here to go to the Control-alt sheet.")</f>
        <v>Click here to go to the Control-alt sheet.</v>
      </c>
    </row>
    <row r="15" spans="1:6" ht="34.5" customHeight="1">
      <c r="A15" s="515" t="s">
        <v>1010</v>
      </c>
    </row>
    <row r="16" spans="1:6">
      <c r="A16" s="515"/>
    </row>
    <row r="17" spans="1:1" ht="16.5" customHeight="1">
      <c r="A17" s="515" t="s">
        <v>974</v>
      </c>
    </row>
    <row r="18" spans="1:1" ht="45.75" customHeight="1">
      <c r="A18" s="515" t="s">
        <v>1035</v>
      </c>
    </row>
    <row r="19" spans="1:1" ht="16.5" customHeight="1">
      <c r="A19" s="621" t="s">
        <v>966</v>
      </c>
    </row>
    <row r="20" spans="1:1" ht="16.5" customHeight="1">
      <c r="A20" s="515" t="s">
        <v>1007</v>
      </c>
    </row>
    <row r="21" spans="1:1" ht="16.5" customHeight="1">
      <c r="A21" s="515" t="s">
        <v>967</v>
      </c>
    </row>
    <row r="22" spans="1:1" ht="16.5" customHeight="1">
      <c r="A22" s="515" t="s">
        <v>968</v>
      </c>
    </row>
    <row r="23" spans="1:1" ht="16.5" customHeight="1">
      <c r="A23" s="515" t="s">
        <v>969</v>
      </c>
    </row>
    <row r="24" spans="1:1" ht="16.5" customHeight="1">
      <c r="A24" s="515" t="s">
        <v>970</v>
      </c>
    </row>
    <row r="25" spans="1:1" ht="16.5" customHeight="1">
      <c r="A25" s="515"/>
    </row>
    <row r="26" spans="1:1" ht="16.5" customHeight="1">
      <c r="A26" s="515" t="s">
        <v>971</v>
      </c>
    </row>
    <row r="27" spans="1:1" ht="16.5" customHeight="1">
      <c r="A27" s="515" t="s">
        <v>975</v>
      </c>
    </row>
    <row r="28" spans="1:1" ht="16.5" customHeight="1">
      <c r="A28" s="515" t="s">
        <v>976</v>
      </c>
    </row>
    <row r="29" spans="1:1" ht="16.5" customHeight="1">
      <c r="A29" s="515" t="s">
        <v>977</v>
      </c>
    </row>
    <row r="30" spans="1:1" ht="30" customHeight="1">
      <c r="A30" s="515" t="s">
        <v>1011</v>
      </c>
    </row>
    <row r="31" spans="1:1" ht="30" customHeight="1">
      <c r="A31" s="515" t="s">
        <v>978</v>
      </c>
    </row>
    <row r="32" spans="1:1" ht="30" customHeight="1">
      <c r="A32" s="516"/>
    </row>
    <row r="33" spans="1:1" ht="15" thickBot="1">
      <c r="A33" s="517"/>
    </row>
  </sheetData>
  <sheetProtection algorithmName="SHA-512" hashValue="S59wVeJ9JX1SU8f8RLyxYep9U41dokKThQ0Ow5dvzmQ3VuqnE2s5ky7kdDuYV5sCrPhhERg8z68JWg6kGXKb9Q==" saltValue="CXkqR1ioRVBjbZ0fCFB4XQ==" spinCount="100000" sheet="1" objects="1" scenarios="1" formatColumns="0" formatRows="0" autoFilter="0"/>
  <hyperlinks>
    <hyperlink ref="A19" r:id="rId1" xr:uid="{83C24B00-EA0A-44B7-BBE2-610A03EDF867}"/>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0327D0-E19A-447E-BC0F-8BDF7EB1741A}">
  <sheetPr codeName="Sheet12">
    <tabColor theme="1"/>
  </sheetPr>
  <dimension ref="A1:J60"/>
  <sheetViews>
    <sheetView workbookViewId="0">
      <selection sqref="A1:E1"/>
    </sheetView>
  </sheetViews>
  <sheetFormatPr defaultColWidth="0" defaultRowHeight="15" zeroHeight="1"/>
  <cols>
    <col min="1" max="1" width="35" customWidth="1"/>
    <col min="2" max="5" width="36.85546875" customWidth="1"/>
    <col min="6" max="6" width="3" customWidth="1"/>
    <col min="7" max="16384" width="10.28515625" hidden="1"/>
  </cols>
  <sheetData>
    <row r="1" spans="1:10" ht="18.75" customHeight="1" thickBot="1">
      <c r="A1" s="744" t="s">
        <v>319</v>
      </c>
      <c r="B1" s="745"/>
      <c r="C1" s="745"/>
      <c r="D1" s="745"/>
      <c r="E1" s="746"/>
      <c r="G1" t="s">
        <v>320</v>
      </c>
      <c r="H1" t="s">
        <v>320</v>
      </c>
      <c r="I1" t="s">
        <v>320</v>
      </c>
      <c r="J1" t="s">
        <v>321</v>
      </c>
    </row>
    <row r="2" spans="1:10" ht="20.25" customHeight="1" thickBot="1">
      <c r="A2" s="747" t="s">
        <v>322</v>
      </c>
      <c r="B2" s="748"/>
      <c r="C2" s="748"/>
      <c r="D2" s="748"/>
      <c r="E2" s="749"/>
    </row>
    <row r="3" spans="1:10" ht="15.75" thickBot="1"/>
    <row r="4" spans="1:10">
      <c r="A4" s="750" t="s">
        <v>323</v>
      </c>
      <c r="B4" s="751"/>
    </row>
    <row r="5" spans="1:10">
      <c r="A5" s="84" t="s">
        <v>28</v>
      </c>
      <c r="B5" s="84" t="s">
        <v>29</v>
      </c>
    </row>
    <row r="6" spans="1:10">
      <c r="A6" s="73" t="s">
        <v>324</v>
      </c>
      <c r="B6" s="73" t="s">
        <v>358</v>
      </c>
      <c r="G6" t="s">
        <v>358</v>
      </c>
    </row>
    <row r="7" spans="1:10">
      <c r="A7" s="73" t="s">
        <v>31</v>
      </c>
      <c r="B7" s="73" t="s">
        <v>359</v>
      </c>
      <c r="G7" t="s">
        <v>359</v>
      </c>
    </row>
    <row r="8" spans="1:10">
      <c r="A8" s="73" t="s">
        <v>32</v>
      </c>
      <c r="B8" s="73" t="s">
        <v>360</v>
      </c>
      <c r="G8" t="s">
        <v>360</v>
      </c>
    </row>
    <row r="9" spans="1:10">
      <c r="A9" s="73" t="s">
        <v>325</v>
      </c>
      <c r="B9" s="73" t="s">
        <v>326</v>
      </c>
      <c r="G9" t="s">
        <v>40</v>
      </c>
    </row>
    <row r="10" spans="1:10" ht="30">
      <c r="A10" s="73" t="s">
        <v>327</v>
      </c>
      <c r="B10" s="73" t="s">
        <v>361</v>
      </c>
      <c r="G10" t="s">
        <v>361</v>
      </c>
    </row>
    <row r="11" spans="1:10">
      <c r="A11" s="73" t="s">
        <v>328</v>
      </c>
      <c r="B11" s="73" t="s">
        <v>329</v>
      </c>
      <c r="G11" t="e">
        <v>#REF!</v>
      </c>
    </row>
    <row r="12" spans="1:10">
      <c r="A12" s="73" t="s">
        <v>255</v>
      </c>
      <c r="B12" s="73">
        <v>987654321</v>
      </c>
      <c r="G12" s="65">
        <v>987654321</v>
      </c>
    </row>
    <row r="13" spans="1:10">
      <c r="A13" s="73" t="s">
        <v>259</v>
      </c>
      <c r="B13" s="73">
        <v>123456789</v>
      </c>
      <c r="G13" s="65">
        <v>123456789</v>
      </c>
    </row>
    <row r="14" spans="1:10">
      <c r="A14" s="73" t="s">
        <v>330</v>
      </c>
      <c r="B14" s="73" t="s">
        <v>362</v>
      </c>
      <c r="G14" t="s">
        <v>362</v>
      </c>
    </row>
    <row r="15" spans="1:10" ht="15.75" thickBot="1"/>
    <row r="16" spans="1:10" ht="15.75" thickBot="1">
      <c r="A16" s="732" t="s">
        <v>331</v>
      </c>
      <c r="B16" s="733"/>
      <c r="C16" s="733"/>
      <c r="D16" s="733"/>
      <c r="E16" s="734"/>
    </row>
    <row r="17" spans="1:7" ht="80.25" customHeight="1" thickBot="1">
      <c r="A17" s="735" t="s">
        <v>363</v>
      </c>
      <c r="B17" s="736"/>
      <c r="C17" s="736"/>
      <c r="D17" s="736"/>
      <c r="E17" s="737"/>
      <c r="G17" t="s">
        <v>363</v>
      </c>
    </row>
    <row r="18" spans="1:7" ht="15.75" thickBot="1"/>
    <row r="19" spans="1:7" ht="15.75" thickBot="1">
      <c r="A19" s="741" t="s">
        <v>245</v>
      </c>
      <c r="B19" s="742"/>
      <c r="C19" s="742"/>
      <c r="D19" s="742"/>
      <c r="E19" s="743"/>
    </row>
    <row r="20" spans="1:7" ht="45">
      <c r="A20" s="85" t="s">
        <v>332</v>
      </c>
      <c r="B20" s="86" t="s">
        <v>333</v>
      </c>
      <c r="C20" s="86" t="s">
        <v>334</v>
      </c>
      <c r="D20" s="86" t="s">
        <v>335</v>
      </c>
      <c r="E20" s="87" t="s">
        <v>336</v>
      </c>
    </row>
    <row r="21" spans="1:7" ht="15" customHeight="1">
      <c r="A21" s="88" t="s">
        <v>364</v>
      </c>
      <c r="B21" s="89">
        <v>0</v>
      </c>
      <c r="C21" s="89">
        <v>0.27750000000000002</v>
      </c>
      <c r="D21" s="89">
        <v>0.27750000000000002</v>
      </c>
      <c r="E21" s="90">
        <v>0.27750000000000002</v>
      </c>
    </row>
    <row r="22" spans="1:7" ht="15" customHeight="1">
      <c r="A22" s="88" t="s">
        <v>337</v>
      </c>
      <c r="B22" s="89">
        <v>0</v>
      </c>
      <c r="C22" s="89">
        <v>2.3148148148148151E-3</v>
      </c>
      <c r="D22" s="89">
        <v>2.3148148148148151E-3</v>
      </c>
      <c r="E22" s="90">
        <v>2.3148148148148151E-3</v>
      </c>
    </row>
    <row r="23" spans="1:7" ht="15" customHeight="1">
      <c r="A23" s="88" t="s">
        <v>365</v>
      </c>
      <c r="B23" s="89">
        <v>0</v>
      </c>
      <c r="C23" s="89">
        <v>8.8000000000000005E-3</v>
      </c>
      <c r="D23" s="89">
        <v>8.8000000000000005E-3</v>
      </c>
      <c r="E23" s="90">
        <v>8.8000000000000005E-3</v>
      </c>
    </row>
    <row r="24" spans="1:7" ht="15" customHeight="1">
      <c r="A24" s="88" t="s">
        <v>338</v>
      </c>
      <c r="B24" s="89">
        <v>0</v>
      </c>
      <c r="C24" s="89">
        <v>3.472222222222222E-3</v>
      </c>
      <c r="D24" s="89">
        <v>3.472222222222222E-3</v>
      </c>
      <c r="E24" s="90">
        <v>3.472222222222222E-3</v>
      </c>
    </row>
    <row r="25" spans="1:7" ht="15" customHeight="1">
      <c r="A25" s="88" t="s">
        <v>366</v>
      </c>
      <c r="B25" s="89">
        <v>0</v>
      </c>
      <c r="C25" s="89">
        <v>4.6296296296296302E-3</v>
      </c>
      <c r="D25" s="89">
        <v>4.6296296296296302E-3</v>
      </c>
      <c r="E25" s="90">
        <v>4.6296296296296302E-3</v>
      </c>
    </row>
    <row r="26" spans="1:7" ht="15" customHeight="1">
      <c r="A26" s="88" t="s">
        <v>367</v>
      </c>
      <c r="B26" s="89">
        <v>0</v>
      </c>
      <c r="C26" s="89">
        <v>3.3999999999999998E-3</v>
      </c>
      <c r="D26" s="89">
        <v>3.3999999999999998E-3</v>
      </c>
      <c r="E26" s="90">
        <v>3.3999999999999998E-3</v>
      </c>
    </row>
    <row r="27" spans="1:7" ht="15" customHeight="1">
      <c r="A27" s="88" t="s">
        <v>339</v>
      </c>
      <c r="B27" s="89">
        <v>0</v>
      </c>
      <c r="C27" s="89">
        <v>0.10194444444444445</v>
      </c>
      <c r="D27" s="89">
        <v>0.10194444444444445</v>
      </c>
      <c r="E27" s="90">
        <v>0.10194444444444445</v>
      </c>
    </row>
    <row r="28" spans="1:7" ht="15" customHeight="1">
      <c r="A28" s="88" t="s">
        <v>368</v>
      </c>
      <c r="B28" s="89">
        <v>0</v>
      </c>
      <c r="C28" s="89">
        <v>1.1332550343428037E-6</v>
      </c>
      <c r="D28" s="89">
        <v>1.1332550343428037E-6</v>
      </c>
      <c r="E28" s="90">
        <v>1.1332550343428037E-6</v>
      </c>
    </row>
    <row r="29" spans="1:7" ht="15" customHeight="1">
      <c r="A29" s="91" t="s">
        <v>369</v>
      </c>
      <c r="B29" s="89">
        <v>0</v>
      </c>
      <c r="C29" s="92">
        <v>1.9300000000000001E-2</v>
      </c>
      <c r="D29" s="92">
        <v>1.9300000000000001E-2</v>
      </c>
      <c r="E29" s="93">
        <v>1.9300000000000001E-2</v>
      </c>
    </row>
    <row r="30" spans="1:7" ht="15.75" thickBot="1"/>
    <row r="31" spans="1:7" ht="15.75" thickBot="1">
      <c r="A31" s="732" t="s">
        <v>340</v>
      </c>
      <c r="B31" s="733"/>
      <c r="C31" s="733"/>
      <c r="D31" s="733"/>
      <c r="E31" s="734"/>
    </row>
    <row r="32" spans="1:7" ht="75" customHeight="1" thickBot="1">
      <c r="A32" s="735" t="s">
        <v>341</v>
      </c>
      <c r="B32" s="736"/>
      <c r="C32" s="736"/>
      <c r="D32" s="736"/>
      <c r="E32" s="737"/>
      <c r="G32" t="s">
        <v>40</v>
      </c>
    </row>
    <row r="33" spans="1:10"/>
    <row r="34" spans="1:10">
      <c r="A34" s="730" t="s">
        <v>342</v>
      </c>
      <c r="B34" s="731"/>
      <c r="C34" s="666"/>
    </row>
    <row r="35" spans="1:10">
      <c r="A35" s="60" t="s">
        <v>343</v>
      </c>
      <c r="B35" s="61" t="s">
        <v>354</v>
      </c>
      <c r="C35" s="61" t="s">
        <v>344</v>
      </c>
    </row>
    <row r="36" spans="1:10" ht="45" customHeight="1">
      <c r="A36" s="63"/>
      <c r="B36" s="64"/>
      <c r="C36" s="64"/>
      <c r="G36" t="s">
        <v>370</v>
      </c>
    </row>
    <row r="37" spans="1:10" ht="45" customHeight="1">
      <c r="A37" s="66"/>
      <c r="B37" s="67"/>
      <c r="C37" s="67"/>
      <c r="G37" t="s">
        <v>371</v>
      </c>
    </row>
    <row r="38" spans="1:10" ht="15.75" thickBot="1"/>
    <row r="39" spans="1:10" ht="15.75" thickBot="1">
      <c r="A39" s="738" t="s">
        <v>345</v>
      </c>
      <c r="B39" s="739"/>
      <c r="C39" s="740"/>
    </row>
    <row r="40" spans="1:10" ht="60" customHeight="1">
      <c r="A40" s="69" t="s">
        <v>346</v>
      </c>
      <c r="B40" s="70" t="s">
        <v>347</v>
      </c>
      <c r="C40" s="71" t="s">
        <v>372</v>
      </c>
      <c r="G40" t="s">
        <v>373</v>
      </c>
      <c r="H40" t="s">
        <v>372</v>
      </c>
      <c r="J40" t="b">
        <v>0</v>
      </c>
    </row>
    <row r="41" spans="1:10" ht="90" customHeight="1">
      <c r="A41" s="72"/>
      <c r="B41" s="73" t="s">
        <v>348</v>
      </c>
      <c r="C41" s="74" t="s">
        <v>374</v>
      </c>
      <c r="G41" t="s">
        <v>375</v>
      </c>
      <c r="H41" t="s">
        <v>376</v>
      </c>
      <c r="I41" t="s">
        <v>374</v>
      </c>
      <c r="J41">
        <v>0</v>
      </c>
    </row>
    <row r="42" spans="1:10">
      <c r="A42" s="72" t="s">
        <v>349</v>
      </c>
      <c r="B42" s="73" t="s">
        <v>350</v>
      </c>
      <c r="C42" s="75">
        <v>900</v>
      </c>
      <c r="G42">
        <v>900</v>
      </c>
    </row>
    <row r="43" spans="1:10" ht="30" customHeight="1" thickBot="1">
      <c r="A43" s="76" t="s">
        <v>351</v>
      </c>
      <c r="B43" s="77" t="s">
        <v>352</v>
      </c>
      <c r="C43" s="78" t="s">
        <v>40</v>
      </c>
      <c r="G43" t="s">
        <v>40</v>
      </c>
    </row>
    <row r="44" spans="1:10" ht="15.75" thickBot="1"/>
    <row r="45" spans="1:10" ht="15.75" thickBot="1">
      <c r="A45" s="732" t="s">
        <v>353</v>
      </c>
      <c r="B45" s="733"/>
      <c r="C45" s="733"/>
      <c r="D45" s="733"/>
      <c r="E45" s="734"/>
    </row>
    <row r="46" spans="1:10" ht="45" customHeight="1" thickBot="1">
      <c r="A46" s="735" t="s">
        <v>377</v>
      </c>
      <c r="B46" s="736"/>
      <c r="C46" s="736"/>
      <c r="D46" s="736"/>
      <c r="E46" s="737"/>
    </row>
    <row r="47" spans="1:10">
      <c r="A47" s="60" t="s">
        <v>354</v>
      </c>
      <c r="B47" s="68" t="s">
        <v>355</v>
      </c>
      <c r="C47" s="68" t="s">
        <v>332</v>
      </c>
      <c r="D47" s="68" t="s">
        <v>356</v>
      </c>
      <c r="E47" s="61" t="s">
        <v>357</v>
      </c>
    </row>
    <row r="48" spans="1:10" ht="18" customHeight="1">
      <c r="A48" s="66" t="s">
        <v>378</v>
      </c>
      <c r="B48" s="79" t="s">
        <v>379</v>
      </c>
      <c r="C48" s="73" t="s">
        <v>364</v>
      </c>
      <c r="D48" s="80">
        <v>1.85</v>
      </c>
      <c r="E48" s="80">
        <v>0.27750000000000002</v>
      </c>
    </row>
    <row r="49" spans="1:5" ht="18" customHeight="1">
      <c r="A49" s="81"/>
      <c r="B49" s="82"/>
      <c r="C49" s="73" t="s">
        <v>337</v>
      </c>
      <c r="D49" s="80">
        <v>5.43</v>
      </c>
      <c r="E49" s="80">
        <v>2.3148148148148151E-3</v>
      </c>
    </row>
    <row r="50" spans="1:5" ht="18" customHeight="1">
      <c r="A50" s="81"/>
      <c r="B50" s="82"/>
      <c r="C50" s="73" t="s">
        <v>338</v>
      </c>
      <c r="D50" s="80">
        <v>4.6296296296296294E-2</v>
      </c>
      <c r="E50" s="80">
        <v>3.472222222222222E-3</v>
      </c>
    </row>
    <row r="51" spans="1:5" ht="18" customHeight="1">
      <c r="A51" s="81"/>
      <c r="B51" s="82"/>
      <c r="C51" s="73" t="s">
        <v>366</v>
      </c>
      <c r="D51" s="80">
        <v>2.1999999999999999E-2</v>
      </c>
      <c r="E51" s="80">
        <v>4.6296296296296302E-3</v>
      </c>
    </row>
    <row r="52" spans="1:5" ht="18" customHeight="1">
      <c r="A52" s="81"/>
      <c r="B52" s="82"/>
      <c r="C52" s="73" t="s">
        <v>367</v>
      </c>
      <c r="D52" s="80">
        <v>2.1999999999999999E-2</v>
      </c>
      <c r="E52" s="80">
        <v>3.3999999999999998E-3</v>
      </c>
    </row>
    <row r="53" spans="1:5" ht="18" customHeight="1">
      <c r="A53" s="81"/>
      <c r="B53" s="82"/>
      <c r="C53" s="73" t="s">
        <v>339</v>
      </c>
      <c r="D53" s="80">
        <v>9.2592592592592587E-2</v>
      </c>
      <c r="E53" s="80">
        <v>6.9444444444444441E-3</v>
      </c>
    </row>
    <row r="54" spans="1:5" ht="18" customHeight="1">
      <c r="A54" s="81"/>
      <c r="B54" s="82"/>
      <c r="C54" s="73" t="s">
        <v>365</v>
      </c>
      <c r="D54" s="80">
        <v>5.8999999999999997E-2</v>
      </c>
      <c r="E54" s="80">
        <v>8.8000000000000005E-3</v>
      </c>
    </row>
    <row r="55" spans="1:5" ht="18" customHeight="1">
      <c r="A55" s="81"/>
      <c r="B55" s="82"/>
      <c r="C55" s="73" t="s">
        <v>368</v>
      </c>
      <c r="D55" s="80">
        <v>5.7000000000000002E-3</v>
      </c>
      <c r="E55" s="80">
        <v>1.1332550343428037E-6</v>
      </c>
    </row>
    <row r="56" spans="1:5" ht="18" customHeight="1">
      <c r="A56" s="62"/>
      <c r="B56" s="83"/>
      <c r="C56" s="73" t="s">
        <v>369</v>
      </c>
      <c r="D56" s="80">
        <v>0.129</v>
      </c>
      <c r="E56" s="80">
        <v>1.9300000000000001E-2</v>
      </c>
    </row>
    <row r="57" spans="1:5" ht="18" customHeight="1">
      <c r="A57" s="73" t="s">
        <v>380</v>
      </c>
      <c r="B57" s="73" t="s">
        <v>381</v>
      </c>
      <c r="C57" s="73" t="s">
        <v>339</v>
      </c>
      <c r="D57" s="80">
        <v>0.43</v>
      </c>
      <c r="E57" s="80">
        <v>9.5000000000000001E-2</v>
      </c>
    </row>
    <row r="58" spans="1:5" ht="8.25" customHeight="1"/>
    <row r="59" spans="1:5">
      <c r="A59" s="729" t="s">
        <v>382</v>
      </c>
      <c r="B59" s="663"/>
    </row>
    <row r="60" spans="1:5" ht="8.25" customHeight="1"/>
  </sheetData>
  <sheetProtection algorithmName="SHA-512" hashValue="F5DFojbskYNQ5lxo03FWwN6HZx7wxSXCPrUk1gaR69jOFN1jbke9MUMHsG2Eu6lv2U34HM0f8xEreZgmP6sr2w==" saltValue="6jyD3h+SQPqJOq13J5Z6ZA==" spinCount="100000" sheet="1" objects="1" scenarios="1" formatColumns="0" formatRows="0" autoFilter="0"/>
  <mergeCells count="13">
    <mergeCell ref="A19:E19"/>
    <mergeCell ref="A1:E1"/>
    <mergeCell ref="A2:E2"/>
    <mergeCell ref="A4:B4"/>
    <mergeCell ref="A16:E16"/>
    <mergeCell ref="A17:E17"/>
    <mergeCell ref="A59:B59"/>
    <mergeCell ref="A34:C34"/>
    <mergeCell ref="A31:E31"/>
    <mergeCell ref="A32:E32"/>
    <mergeCell ref="A39:C39"/>
    <mergeCell ref="A45:E45"/>
    <mergeCell ref="A46:E46"/>
  </mergeCells>
  <conditionalFormatting sqref="B40:C41">
    <cfRule type="expression" dxfId="1" priority="2">
      <formula>$J40</formula>
    </cfRule>
  </conditionalFormatting>
  <conditionalFormatting sqref="C42">
    <cfRule type="expression" dxfId="0" priority="1">
      <formula>$J42</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05CE5-60D5-4814-A8DB-0C97D7E99105}">
  <sheetPr codeName="Sheet19">
    <tabColor theme="1"/>
  </sheetPr>
  <dimension ref="A3:I28"/>
  <sheetViews>
    <sheetView workbookViewId="0"/>
  </sheetViews>
  <sheetFormatPr defaultRowHeight="15"/>
  <cols>
    <col min="1" max="1" width="46.85546875" customWidth="1"/>
    <col min="2" max="2" width="14.140625" customWidth="1"/>
  </cols>
  <sheetData>
    <row r="3" spans="1:9">
      <c r="A3" s="752" t="s">
        <v>75</v>
      </c>
      <c r="B3" s="752"/>
      <c r="C3" s="752"/>
      <c r="D3" s="752"/>
      <c r="E3" s="752"/>
      <c r="F3" s="752"/>
      <c r="G3" s="752"/>
      <c r="H3" s="752"/>
      <c r="I3" s="752"/>
    </row>
    <row r="4" spans="1:9" ht="60">
      <c r="A4" s="28" t="s">
        <v>76</v>
      </c>
      <c r="B4" s="29" t="s">
        <v>77</v>
      </c>
      <c r="C4" s="28" t="s">
        <v>36</v>
      </c>
      <c r="D4" s="30" t="s">
        <v>78</v>
      </c>
      <c r="E4" s="28" t="s">
        <v>79</v>
      </c>
      <c r="F4" s="28" t="s">
        <v>80</v>
      </c>
      <c r="G4" s="30" t="s">
        <v>81</v>
      </c>
      <c r="H4" s="28" t="s">
        <v>82</v>
      </c>
      <c r="I4" s="28" t="s">
        <v>83</v>
      </c>
    </row>
    <row r="5" spans="1:9">
      <c r="A5" t="s">
        <v>84</v>
      </c>
      <c r="B5">
        <v>9</v>
      </c>
      <c r="C5" t="s">
        <v>85</v>
      </c>
      <c r="D5" s="29">
        <v>13</v>
      </c>
      <c r="E5" t="s">
        <v>86</v>
      </c>
      <c r="F5">
        <v>4.3</v>
      </c>
      <c r="G5" s="29">
        <v>11</v>
      </c>
      <c r="H5" t="s">
        <v>87</v>
      </c>
      <c r="I5">
        <v>2.2000000000000002</v>
      </c>
    </row>
    <row r="6" spans="1:9">
      <c r="A6" s="29" t="s">
        <v>84</v>
      </c>
      <c r="B6" s="29">
        <v>9</v>
      </c>
      <c r="C6" t="s">
        <v>88</v>
      </c>
      <c r="D6" s="29">
        <v>9</v>
      </c>
      <c r="E6" t="s">
        <v>89</v>
      </c>
      <c r="F6">
        <v>9.5</v>
      </c>
      <c r="G6" s="29">
        <v>6</v>
      </c>
      <c r="H6" t="s">
        <v>90</v>
      </c>
      <c r="I6">
        <v>5.4</v>
      </c>
    </row>
    <row r="7" spans="1:9">
      <c r="A7" s="29" t="s">
        <v>84</v>
      </c>
      <c r="B7" s="29">
        <v>9</v>
      </c>
      <c r="C7" t="s">
        <v>91</v>
      </c>
      <c r="D7" s="29">
        <v>12</v>
      </c>
      <c r="E7" t="s">
        <v>92</v>
      </c>
      <c r="F7">
        <v>4.5999999999999996</v>
      </c>
      <c r="G7" s="29">
        <v>11</v>
      </c>
      <c r="H7" t="s">
        <v>93</v>
      </c>
      <c r="I7">
        <v>4.8</v>
      </c>
    </row>
    <row r="8" spans="1:9">
      <c r="A8" s="29" t="s">
        <v>84</v>
      </c>
      <c r="B8" s="29">
        <v>9</v>
      </c>
      <c r="C8" t="s">
        <v>94</v>
      </c>
      <c r="D8" s="29">
        <v>3</v>
      </c>
      <c r="E8" t="s">
        <v>95</v>
      </c>
      <c r="F8">
        <v>5.3</v>
      </c>
      <c r="G8" s="29">
        <v>3</v>
      </c>
      <c r="H8" t="s">
        <v>96</v>
      </c>
      <c r="I8">
        <v>0.92</v>
      </c>
    </row>
    <row r="9" spans="1:9">
      <c r="A9" s="29" t="s">
        <v>84</v>
      </c>
      <c r="B9" s="29">
        <v>9</v>
      </c>
      <c r="C9" t="s">
        <v>97</v>
      </c>
      <c r="D9" s="29">
        <v>3</v>
      </c>
      <c r="E9" t="s">
        <v>98</v>
      </c>
      <c r="F9">
        <v>13</v>
      </c>
      <c r="G9" s="29">
        <v>1</v>
      </c>
      <c r="H9" t="s">
        <v>99</v>
      </c>
      <c r="I9">
        <v>7</v>
      </c>
    </row>
    <row r="10" spans="1:9">
      <c r="A10" s="29" t="s">
        <v>84</v>
      </c>
      <c r="B10" s="29">
        <v>9</v>
      </c>
      <c r="C10" t="s">
        <v>100</v>
      </c>
      <c r="D10" s="29">
        <v>2</v>
      </c>
      <c r="E10" t="s">
        <v>101</v>
      </c>
      <c r="F10">
        <v>4.9000000000000004</v>
      </c>
      <c r="G10" s="29">
        <v>2</v>
      </c>
      <c r="H10" t="s">
        <v>102</v>
      </c>
      <c r="I10">
        <v>7.8</v>
      </c>
    </row>
    <row r="11" spans="1:9">
      <c r="A11" s="29" t="s">
        <v>84</v>
      </c>
      <c r="B11" s="29">
        <v>9</v>
      </c>
      <c r="C11" t="s">
        <v>103</v>
      </c>
      <c r="D11" s="29">
        <v>1</v>
      </c>
      <c r="E11" t="s">
        <v>99</v>
      </c>
      <c r="F11">
        <v>15</v>
      </c>
      <c r="G11" s="29">
        <v>1</v>
      </c>
      <c r="H11" t="s">
        <v>99</v>
      </c>
      <c r="I11">
        <v>6.6</v>
      </c>
    </row>
    <row r="12" spans="1:9">
      <c r="A12" s="29" t="s">
        <v>84</v>
      </c>
      <c r="B12" s="29">
        <v>9</v>
      </c>
      <c r="C12" t="s">
        <v>104</v>
      </c>
      <c r="D12" s="29">
        <v>1</v>
      </c>
      <c r="E12" t="s">
        <v>99</v>
      </c>
      <c r="F12">
        <v>0.7</v>
      </c>
      <c r="G12" s="29">
        <v>0</v>
      </c>
      <c r="H12" t="s">
        <v>99</v>
      </c>
      <c r="I12" t="s">
        <v>99</v>
      </c>
    </row>
    <row r="13" spans="1:9">
      <c r="A13" s="29" t="s">
        <v>84</v>
      </c>
      <c r="B13" s="29">
        <v>9</v>
      </c>
      <c r="C13" t="s">
        <v>105</v>
      </c>
      <c r="D13" s="29">
        <v>3</v>
      </c>
      <c r="E13" t="s">
        <v>106</v>
      </c>
      <c r="F13">
        <v>1</v>
      </c>
      <c r="G13" s="29">
        <v>2</v>
      </c>
      <c r="H13" t="s">
        <v>107</v>
      </c>
      <c r="I13">
        <v>0.2</v>
      </c>
    </row>
    <row r="14" spans="1:9">
      <c r="A14" t="s">
        <v>108</v>
      </c>
      <c r="B14">
        <v>2</v>
      </c>
      <c r="C14" t="s">
        <v>109</v>
      </c>
      <c r="D14" s="29">
        <v>2</v>
      </c>
      <c r="E14" t="s">
        <v>110</v>
      </c>
      <c r="F14">
        <v>1.6</v>
      </c>
      <c r="G14" s="29">
        <v>2</v>
      </c>
      <c r="H14" t="s">
        <v>111</v>
      </c>
      <c r="I14">
        <v>0.7</v>
      </c>
    </row>
    <row r="15" spans="1:9">
      <c r="A15" s="29" t="s">
        <v>108</v>
      </c>
      <c r="B15" s="29">
        <v>2</v>
      </c>
      <c r="C15" t="s">
        <v>112</v>
      </c>
      <c r="D15" s="29">
        <v>8</v>
      </c>
      <c r="E15" t="s">
        <v>113</v>
      </c>
      <c r="F15">
        <v>3.9</v>
      </c>
      <c r="G15" s="29">
        <v>8</v>
      </c>
      <c r="H15" t="s">
        <v>114</v>
      </c>
      <c r="I15">
        <v>2.1</v>
      </c>
    </row>
    <row r="16" spans="1:9">
      <c r="A16" t="s">
        <v>115</v>
      </c>
      <c r="B16">
        <v>1</v>
      </c>
      <c r="C16" t="s">
        <v>116</v>
      </c>
      <c r="D16" s="29">
        <v>9</v>
      </c>
      <c r="E16" t="s">
        <v>117</v>
      </c>
      <c r="F16">
        <v>3.4</v>
      </c>
      <c r="G16" s="29">
        <v>7</v>
      </c>
      <c r="H16" t="s">
        <v>118</v>
      </c>
      <c r="I16">
        <v>0.9</v>
      </c>
    </row>
    <row r="17" spans="1:9">
      <c r="A17" s="29" t="s">
        <v>115</v>
      </c>
      <c r="B17" s="29">
        <v>1</v>
      </c>
      <c r="C17" t="s">
        <v>119</v>
      </c>
      <c r="D17" s="29">
        <v>2</v>
      </c>
      <c r="E17" t="s">
        <v>107</v>
      </c>
      <c r="F17">
        <v>11</v>
      </c>
      <c r="G17" s="29">
        <v>1</v>
      </c>
      <c r="H17" t="s">
        <v>99</v>
      </c>
      <c r="I17">
        <v>0.4</v>
      </c>
    </row>
    <row r="18" spans="1:9">
      <c r="A18" t="s">
        <v>120</v>
      </c>
      <c r="B18">
        <v>4</v>
      </c>
      <c r="C18" t="s">
        <v>91</v>
      </c>
      <c r="D18" s="29">
        <v>15</v>
      </c>
      <c r="E18" t="s">
        <v>121</v>
      </c>
      <c r="F18">
        <v>6.2</v>
      </c>
      <c r="G18" s="29">
        <v>7</v>
      </c>
      <c r="H18" t="s">
        <v>122</v>
      </c>
      <c r="I18">
        <v>6.9</v>
      </c>
    </row>
    <row r="19" spans="1:9">
      <c r="A19" s="29" t="s">
        <v>120</v>
      </c>
      <c r="B19" s="29">
        <v>4</v>
      </c>
      <c r="C19" t="s">
        <v>123</v>
      </c>
      <c r="D19" s="29">
        <v>15</v>
      </c>
      <c r="E19" t="s">
        <v>124</v>
      </c>
      <c r="F19">
        <v>7.5</v>
      </c>
      <c r="G19" s="29">
        <v>0</v>
      </c>
      <c r="H19" t="s">
        <v>99</v>
      </c>
      <c r="I19" t="s">
        <v>99</v>
      </c>
    </row>
    <row r="20" spans="1:9">
      <c r="A20" s="29" t="s">
        <v>120</v>
      </c>
      <c r="B20" s="29">
        <v>4</v>
      </c>
      <c r="C20" t="s">
        <v>125</v>
      </c>
      <c r="D20" s="29">
        <v>3</v>
      </c>
      <c r="E20" t="s">
        <v>126</v>
      </c>
      <c r="F20">
        <v>15</v>
      </c>
      <c r="G20" s="29">
        <v>3</v>
      </c>
      <c r="H20" t="s">
        <v>127</v>
      </c>
      <c r="I20">
        <v>3.4</v>
      </c>
    </row>
    <row r="21" spans="1:9">
      <c r="A21" t="s">
        <v>128</v>
      </c>
      <c r="B21">
        <v>1</v>
      </c>
      <c r="C21" t="s">
        <v>129</v>
      </c>
      <c r="D21" s="29">
        <v>60</v>
      </c>
      <c r="E21" t="s">
        <v>130</v>
      </c>
      <c r="F21">
        <v>2.2000000000000002</v>
      </c>
      <c r="G21" s="29">
        <v>59</v>
      </c>
      <c r="H21" t="s">
        <v>131</v>
      </c>
      <c r="I21">
        <v>4.5</v>
      </c>
    </row>
    <row r="22" spans="1:9">
      <c r="A22" t="s">
        <v>132</v>
      </c>
      <c r="B22">
        <v>4</v>
      </c>
      <c r="C22" t="s">
        <v>37</v>
      </c>
      <c r="D22" s="29">
        <v>1</v>
      </c>
      <c r="E22" t="s">
        <v>99</v>
      </c>
      <c r="F22">
        <v>2.6</v>
      </c>
      <c r="G22" s="29">
        <v>1</v>
      </c>
      <c r="H22" t="s">
        <v>99</v>
      </c>
      <c r="I22">
        <v>7.4</v>
      </c>
    </row>
    <row r="23" spans="1:9">
      <c r="A23" s="29" t="s">
        <v>132</v>
      </c>
      <c r="B23" s="29">
        <v>4</v>
      </c>
      <c r="C23" t="s">
        <v>94</v>
      </c>
      <c r="D23" s="29">
        <v>2</v>
      </c>
      <c r="E23" t="s">
        <v>133</v>
      </c>
      <c r="F23">
        <v>3.8</v>
      </c>
      <c r="G23" s="29">
        <v>2</v>
      </c>
      <c r="H23" t="s">
        <v>134</v>
      </c>
      <c r="I23">
        <v>3.6</v>
      </c>
    </row>
    <row r="24" spans="1:9">
      <c r="A24" s="29" t="s">
        <v>132</v>
      </c>
      <c r="B24" s="29">
        <v>4</v>
      </c>
      <c r="C24" t="s">
        <v>135</v>
      </c>
      <c r="D24" s="29">
        <v>5</v>
      </c>
      <c r="E24" t="s">
        <v>136</v>
      </c>
      <c r="F24">
        <v>9</v>
      </c>
      <c r="G24" s="29">
        <v>5</v>
      </c>
      <c r="H24" t="s">
        <v>137</v>
      </c>
      <c r="I24">
        <v>12</v>
      </c>
    </row>
    <row r="25" spans="1:9">
      <c r="A25" s="29" t="s">
        <v>132</v>
      </c>
      <c r="B25" s="29">
        <v>4</v>
      </c>
      <c r="C25" t="s">
        <v>138</v>
      </c>
      <c r="D25" s="29">
        <v>1</v>
      </c>
      <c r="E25" t="s">
        <v>99</v>
      </c>
      <c r="F25">
        <v>9.1999999999999993</v>
      </c>
      <c r="G25" s="29">
        <v>1</v>
      </c>
      <c r="H25" t="s">
        <v>99</v>
      </c>
      <c r="I25">
        <v>14</v>
      </c>
    </row>
    <row r="26" spans="1:9">
      <c r="A26" s="29" t="s">
        <v>132</v>
      </c>
      <c r="B26" s="29">
        <v>4</v>
      </c>
      <c r="C26" t="s">
        <v>139</v>
      </c>
      <c r="D26" s="29">
        <v>2</v>
      </c>
      <c r="E26" t="s">
        <v>140</v>
      </c>
      <c r="F26">
        <v>6</v>
      </c>
      <c r="G26" s="29">
        <v>2</v>
      </c>
      <c r="H26" t="s">
        <v>141</v>
      </c>
      <c r="I26">
        <v>10</v>
      </c>
    </row>
    <row r="27" spans="1:9">
      <c r="A27" s="29" t="s">
        <v>132</v>
      </c>
      <c r="B27" s="29">
        <v>4</v>
      </c>
      <c r="C27" t="s">
        <v>142</v>
      </c>
      <c r="D27" s="29">
        <v>4</v>
      </c>
      <c r="E27" t="s">
        <v>143</v>
      </c>
      <c r="F27">
        <v>80</v>
      </c>
      <c r="G27" s="29">
        <v>4</v>
      </c>
      <c r="H27" t="s">
        <v>144</v>
      </c>
      <c r="I27">
        <v>27</v>
      </c>
    </row>
    <row r="28" spans="1:9">
      <c r="A28" s="29" t="s">
        <v>132</v>
      </c>
      <c r="B28" s="29">
        <v>4</v>
      </c>
      <c r="C28" t="s">
        <v>145</v>
      </c>
      <c r="D28" s="29">
        <v>1</v>
      </c>
      <c r="E28" t="s">
        <v>99</v>
      </c>
      <c r="F28">
        <v>12</v>
      </c>
      <c r="G28" s="29">
        <v>1</v>
      </c>
      <c r="H28" t="s">
        <v>99</v>
      </c>
      <c r="I28">
        <v>11</v>
      </c>
    </row>
  </sheetData>
  <sheetProtection algorithmName="SHA-512" hashValue="Cxm7/dVZuh7D52wdeWTfwrAP9N8lma2C7s25ZEDI9T8jOhWeFgdV3+vlpQVWU/1zI1Wf6nGtA9ypp9xrHE2H+g==" saltValue="tzu5E/G+ktpIpcCnVVTIgA==" spinCount="100000" sheet="1" objects="1" scenarios="1" formatColumns="0" formatRows="0" autoFilter="0"/>
  <mergeCells count="1">
    <mergeCell ref="A3:I3"/>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BC53E-77F0-497C-9A27-D511CA1AB43F}">
  <sheetPr codeName="Sheet15">
    <tabColor theme="1"/>
  </sheetPr>
  <dimension ref="A1:T66"/>
  <sheetViews>
    <sheetView zoomScale="70" zoomScaleNormal="70" workbookViewId="0">
      <selection sqref="A1:O1"/>
    </sheetView>
  </sheetViews>
  <sheetFormatPr defaultRowHeight="15"/>
  <cols>
    <col min="1" max="4" width="30.7109375" customWidth="1"/>
    <col min="5" max="15" width="10.7109375" customWidth="1"/>
  </cols>
  <sheetData>
    <row r="1" spans="1:15" ht="18.75" thickBot="1">
      <c r="A1" s="754" t="s">
        <v>261</v>
      </c>
      <c r="B1" s="754"/>
      <c r="C1" s="754"/>
      <c r="D1" s="754"/>
      <c r="E1" s="754"/>
      <c r="F1" s="754"/>
      <c r="G1" s="754"/>
      <c r="H1" s="754"/>
      <c r="I1" s="754"/>
      <c r="J1" s="754"/>
      <c r="K1" s="754"/>
      <c r="L1" s="754"/>
      <c r="M1" s="754"/>
      <c r="N1" s="754"/>
      <c r="O1" s="754"/>
    </row>
    <row r="2" spans="1:15" ht="20.100000000000001" customHeight="1" thickBot="1">
      <c r="A2" s="755" t="s">
        <v>262</v>
      </c>
      <c r="B2" s="756"/>
      <c r="C2" s="756"/>
      <c r="D2" s="756"/>
      <c r="E2" s="756"/>
      <c r="F2" s="756"/>
      <c r="G2" s="756"/>
      <c r="H2" s="756"/>
      <c r="I2" s="756"/>
      <c r="J2" s="756"/>
      <c r="K2" s="756"/>
      <c r="L2" s="756"/>
      <c r="M2" s="756"/>
      <c r="N2" s="756"/>
      <c r="O2" s="757"/>
    </row>
    <row r="3" spans="1:15" ht="15.75" thickBot="1"/>
    <row r="4" spans="1:15" ht="15.75" thickBot="1">
      <c r="A4" s="758" t="s">
        <v>25</v>
      </c>
      <c r="B4" s="759"/>
    </row>
    <row r="5" spans="1:15">
      <c r="A5" s="6" t="s">
        <v>263</v>
      </c>
      <c r="B5" s="23"/>
    </row>
    <row r="6" spans="1:15">
      <c r="A6" s="7" t="s">
        <v>264</v>
      </c>
      <c r="B6" s="21"/>
    </row>
    <row r="7" spans="1:15">
      <c r="A7" s="7" t="s">
        <v>265</v>
      </c>
      <c r="B7" s="21"/>
    </row>
    <row r="8" spans="1:15">
      <c r="A8" s="7" t="s">
        <v>266</v>
      </c>
      <c r="B8" s="21"/>
    </row>
    <row r="9" spans="1:15">
      <c r="A9" s="7" t="s">
        <v>267</v>
      </c>
      <c r="B9" s="24" t="s">
        <v>268</v>
      </c>
    </row>
    <row r="10" spans="1:15">
      <c r="A10" s="14" t="s">
        <v>269</v>
      </c>
      <c r="B10" s="25"/>
    </row>
    <row r="11" spans="1:15" ht="15.75" thickBot="1">
      <c r="A11" s="16" t="s">
        <v>270</v>
      </c>
      <c r="B11" s="26"/>
    </row>
    <row r="12" spans="1:15" ht="15.75" thickBot="1"/>
    <row r="13" spans="1:15" ht="15.75" thickBot="1">
      <c r="A13" s="760" t="s">
        <v>271</v>
      </c>
      <c r="B13" s="760"/>
    </row>
    <row r="14" spans="1:15" ht="28.5">
      <c r="A14" s="6" t="s">
        <v>272</v>
      </c>
      <c r="B14" s="23"/>
    </row>
    <row r="15" spans="1:15">
      <c r="A15" s="7" t="s">
        <v>273</v>
      </c>
      <c r="B15" s="21"/>
    </row>
    <row r="16" spans="1:15">
      <c r="A16" s="7" t="s">
        <v>274</v>
      </c>
      <c r="B16" s="21"/>
    </row>
    <row r="17" spans="1:15">
      <c r="A17" s="7" t="s">
        <v>275</v>
      </c>
      <c r="B17" s="21"/>
    </row>
    <row r="18" spans="1:15">
      <c r="A18" s="7" t="s">
        <v>276</v>
      </c>
      <c r="B18" s="21"/>
    </row>
    <row r="19" spans="1:15">
      <c r="A19" s="7" t="s">
        <v>275</v>
      </c>
      <c r="B19" s="21"/>
    </row>
    <row r="20" spans="1:15">
      <c r="A20" s="7" t="s">
        <v>276</v>
      </c>
      <c r="B20" s="21"/>
    </row>
    <row r="21" spans="1:15">
      <c r="A21" s="7" t="s">
        <v>277</v>
      </c>
      <c r="B21" s="21"/>
    </row>
    <row r="22" spans="1:15" ht="15.75" thickBot="1">
      <c r="A22" s="8" t="s">
        <v>277</v>
      </c>
      <c r="B22" s="22"/>
    </row>
    <row r="23" spans="1:15" ht="15.75" thickBot="1"/>
    <row r="24" spans="1:15" ht="15.75" thickBot="1">
      <c r="A24" s="1" t="s">
        <v>278</v>
      </c>
      <c r="B24" s="1" t="s">
        <v>40</v>
      </c>
      <c r="C24" s="1" t="s">
        <v>279</v>
      </c>
      <c r="D24" s="1" t="s">
        <v>280</v>
      </c>
    </row>
    <row r="25" spans="1:15">
      <c r="A25" s="5"/>
      <c r="B25" s="5"/>
      <c r="C25" s="5"/>
      <c r="D25" s="5"/>
    </row>
    <row r="26" spans="1:15">
      <c r="A26" s="5"/>
      <c r="B26" s="5"/>
      <c r="C26" s="5"/>
      <c r="D26" s="5"/>
    </row>
    <row r="27" spans="1:15">
      <c r="A27" s="5"/>
      <c r="B27" s="5"/>
      <c r="C27" s="5"/>
      <c r="D27" s="5"/>
    </row>
    <row r="28" spans="1:15">
      <c r="A28" s="5"/>
      <c r="B28" s="5"/>
      <c r="C28" s="5"/>
      <c r="D28" s="5"/>
    </row>
    <row r="29" spans="1:15">
      <c r="A29" s="5"/>
      <c r="B29" s="5"/>
      <c r="C29" s="5"/>
      <c r="D29" s="5"/>
    </row>
    <row r="30" spans="1:15">
      <c r="A30" s="5"/>
      <c r="B30" s="5"/>
      <c r="C30" s="5"/>
      <c r="D30" s="5"/>
    </row>
    <row r="31" spans="1:15" ht="15.75" thickBot="1"/>
    <row r="32" spans="1:15" ht="15.75" thickBot="1">
      <c r="A32" s="760" t="s">
        <v>281</v>
      </c>
      <c r="B32" s="760"/>
      <c r="C32" s="760"/>
      <c r="D32" s="760"/>
      <c r="E32" s="760"/>
      <c r="F32" s="760"/>
      <c r="G32" s="760"/>
      <c r="H32" s="760"/>
      <c r="I32" s="760"/>
      <c r="J32" s="760"/>
      <c r="K32" s="760"/>
      <c r="L32" s="760"/>
      <c r="M32" s="760"/>
      <c r="N32" s="760"/>
      <c r="O32" s="760"/>
    </row>
    <row r="33" spans="1:15" ht="15.75" thickBot="1">
      <c r="A33" s="761"/>
      <c r="B33" s="762"/>
      <c r="C33" s="762"/>
      <c r="D33" s="762"/>
      <c r="E33" s="762"/>
      <c r="F33" s="762"/>
      <c r="G33" s="762"/>
      <c r="H33" s="762"/>
      <c r="I33" s="762"/>
      <c r="J33" s="762"/>
      <c r="K33" s="762"/>
      <c r="L33" s="762"/>
      <c r="M33" s="762"/>
      <c r="N33" s="762"/>
      <c r="O33" s="763"/>
    </row>
    <row r="34" spans="1:15" ht="15.75" thickBot="1"/>
    <row r="35" spans="1:15" ht="15.75" thickBot="1">
      <c r="A35" s="753" t="s">
        <v>282</v>
      </c>
      <c r="B35" s="753"/>
      <c r="C35" s="753"/>
      <c r="D35" s="753"/>
      <c r="E35" s="753"/>
      <c r="F35" s="753"/>
      <c r="G35" s="753"/>
      <c r="H35" s="753"/>
      <c r="I35" s="753"/>
      <c r="J35" s="753"/>
      <c r="K35" s="753"/>
      <c r="L35" s="753"/>
      <c r="M35" s="753"/>
      <c r="N35" s="753"/>
      <c r="O35" s="753"/>
    </row>
    <row r="36" spans="1:15">
      <c r="A36" s="11"/>
      <c r="B36" s="11"/>
      <c r="C36" s="11"/>
      <c r="D36" s="11"/>
      <c r="E36" s="11"/>
      <c r="F36" s="11"/>
      <c r="G36" s="11"/>
      <c r="H36" s="11"/>
      <c r="I36" s="11"/>
      <c r="J36" s="11"/>
      <c r="K36" s="11"/>
      <c r="L36" s="11"/>
      <c r="M36" s="11"/>
      <c r="N36" s="11"/>
      <c r="O36" s="11"/>
    </row>
    <row r="37" spans="1:15" ht="15.75" thickBot="1"/>
    <row r="38" spans="1:15" ht="15.75" thickBot="1">
      <c r="A38" s="753" t="s">
        <v>283</v>
      </c>
      <c r="B38" s="753"/>
      <c r="C38" s="753"/>
      <c r="D38" s="753"/>
      <c r="E38" s="753"/>
      <c r="F38" s="753"/>
      <c r="G38" s="753"/>
      <c r="H38" s="753"/>
      <c r="I38" s="753"/>
      <c r="J38" s="753"/>
      <c r="K38" s="753"/>
      <c r="L38" s="753"/>
      <c r="M38" s="753"/>
      <c r="N38" s="753"/>
      <c r="O38" s="753"/>
    </row>
    <row r="39" spans="1:15">
      <c r="A39" s="11"/>
      <c r="B39" s="11"/>
      <c r="C39" s="11"/>
      <c r="D39" s="11"/>
      <c r="E39" s="11"/>
      <c r="F39" s="11"/>
      <c r="G39" s="11"/>
      <c r="H39" s="11"/>
      <c r="I39" s="11"/>
      <c r="J39" s="11"/>
      <c r="K39" s="11"/>
      <c r="L39" s="11"/>
      <c r="M39" s="11"/>
      <c r="N39" s="11"/>
      <c r="O39" s="11"/>
    </row>
    <row r="40" spans="1:15" ht="15.75" thickBot="1"/>
    <row r="41" spans="1:15" ht="15.75" thickBot="1">
      <c r="A41" s="760" t="s">
        <v>284</v>
      </c>
      <c r="B41" s="760"/>
      <c r="C41" s="760"/>
      <c r="D41" s="760"/>
      <c r="E41" s="760"/>
      <c r="F41" s="760"/>
      <c r="G41" s="760"/>
      <c r="H41" s="760"/>
      <c r="I41" s="760"/>
      <c r="J41" s="760"/>
      <c r="K41" s="760"/>
      <c r="L41" s="760"/>
      <c r="M41" s="760"/>
      <c r="N41" s="760"/>
      <c r="O41" s="760"/>
    </row>
    <row r="42" spans="1:15" ht="30">
      <c r="A42" s="10" t="s">
        <v>285</v>
      </c>
      <c r="B42" s="10" t="s">
        <v>286</v>
      </c>
      <c r="C42" s="10" t="s">
        <v>287</v>
      </c>
      <c r="D42" s="10" t="s">
        <v>288</v>
      </c>
      <c r="E42" s="10" t="s">
        <v>289</v>
      </c>
      <c r="F42" s="10" t="s">
        <v>290</v>
      </c>
      <c r="G42" s="10" t="s">
        <v>291</v>
      </c>
      <c r="H42" s="10" t="s">
        <v>292</v>
      </c>
      <c r="I42" s="10" t="s">
        <v>293</v>
      </c>
      <c r="J42" s="10" t="s">
        <v>294</v>
      </c>
      <c r="K42" s="10" t="s">
        <v>295</v>
      </c>
      <c r="L42" s="10" t="s">
        <v>296</v>
      </c>
      <c r="M42" s="10" t="s">
        <v>297</v>
      </c>
      <c r="N42" s="12" t="s">
        <v>298</v>
      </c>
      <c r="O42" s="12" t="s">
        <v>299</v>
      </c>
    </row>
    <row r="43" spans="1:15">
      <c r="A43" s="5"/>
      <c r="B43" s="5"/>
      <c r="C43" s="5"/>
      <c r="D43" s="5"/>
      <c r="E43" s="5"/>
      <c r="F43" s="5"/>
      <c r="G43" s="5"/>
      <c r="H43" s="5"/>
      <c r="I43" s="5"/>
      <c r="J43" s="5"/>
      <c r="K43" s="5"/>
      <c r="L43" s="5"/>
      <c r="M43" s="5"/>
      <c r="N43" s="5"/>
      <c r="O43" s="5"/>
    </row>
    <row r="44" spans="1:15">
      <c r="A44" s="5"/>
      <c r="B44" s="5"/>
      <c r="C44" s="5"/>
      <c r="D44" s="5"/>
      <c r="E44" s="5"/>
      <c r="F44" s="5"/>
      <c r="G44" s="5"/>
      <c r="H44" s="5"/>
      <c r="I44" s="5"/>
      <c r="J44" s="5"/>
      <c r="K44" s="5"/>
      <c r="L44" s="5"/>
      <c r="M44" s="5"/>
      <c r="N44" s="5"/>
      <c r="O44" s="5"/>
    </row>
    <row r="45" spans="1:15">
      <c r="A45" s="5"/>
      <c r="B45" s="5"/>
      <c r="C45" s="5"/>
      <c r="D45" s="5"/>
      <c r="E45" s="5"/>
      <c r="F45" s="5"/>
      <c r="G45" s="5"/>
      <c r="H45" s="5"/>
      <c r="I45" s="5"/>
      <c r="J45" s="5"/>
      <c r="K45" s="5"/>
      <c r="L45" s="5"/>
      <c r="M45" s="5"/>
      <c r="N45" s="5"/>
      <c r="O45" s="5"/>
    </row>
    <row r="46" spans="1:15">
      <c r="A46" s="5"/>
      <c r="B46" s="5"/>
      <c r="C46" s="5"/>
      <c r="D46" s="5"/>
      <c r="E46" s="5"/>
      <c r="F46" s="5"/>
      <c r="G46" s="5"/>
      <c r="H46" s="5"/>
      <c r="I46" s="5"/>
      <c r="J46" s="5"/>
      <c r="K46" s="5"/>
      <c r="L46" s="5"/>
      <c r="M46" s="5"/>
      <c r="N46" s="5"/>
      <c r="O46" s="5"/>
    </row>
    <row r="47" spans="1:15">
      <c r="A47" s="5"/>
      <c r="B47" s="5"/>
      <c r="C47" s="5"/>
      <c r="D47" s="5"/>
      <c r="E47" s="5"/>
      <c r="F47" s="5"/>
      <c r="G47" s="5"/>
      <c r="H47" s="5"/>
      <c r="I47" s="5"/>
      <c r="J47" s="5"/>
      <c r="K47" s="5"/>
      <c r="L47" s="5"/>
      <c r="M47" s="5"/>
      <c r="N47" s="5"/>
      <c r="O47" s="5"/>
    </row>
    <row r="48" spans="1:15">
      <c r="A48" s="5"/>
      <c r="B48" s="5"/>
      <c r="C48" s="5"/>
      <c r="D48" s="5"/>
      <c r="E48" s="5"/>
      <c r="F48" s="5"/>
      <c r="G48" s="5"/>
      <c r="H48" s="5"/>
      <c r="I48" s="5"/>
      <c r="J48" s="5"/>
      <c r="K48" s="5"/>
      <c r="L48" s="5"/>
      <c r="M48" s="5"/>
      <c r="N48" s="5"/>
      <c r="O48" s="5"/>
    </row>
    <row r="49" spans="1:20" ht="15.75" thickBot="1">
      <c r="A49" s="5"/>
      <c r="B49" s="5"/>
      <c r="C49" s="5"/>
      <c r="D49" s="5"/>
      <c r="E49" s="5"/>
      <c r="F49" s="5"/>
      <c r="G49" s="5"/>
      <c r="H49" s="5"/>
      <c r="I49" s="5"/>
      <c r="J49" s="5"/>
      <c r="K49" s="5"/>
      <c r="L49" s="5"/>
      <c r="M49" s="5"/>
      <c r="N49" s="5"/>
      <c r="O49" s="5"/>
      <c r="T49" s="9"/>
    </row>
    <row r="50" spans="1:20">
      <c r="A50" s="10" t="s">
        <v>300</v>
      </c>
      <c r="B50" s="13" t="s">
        <v>99</v>
      </c>
      <c r="C50" s="12"/>
      <c r="D50" s="13" t="s">
        <v>99</v>
      </c>
      <c r="E50" s="12"/>
      <c r="F50" s="13" t="s">
        <v>99</v>
      </c>
      <c r="G50" s="12"/>
      <c r="H50" s="13" t="s">
        <v>99</v>
      </c>
      <c r="I50" s="12"/>
      <c r="J50" s="13" t="s">
        <v>99</v>
      </c>
      <c r="K50" s="12"/>
      <c r="L50" s="13" t="s">
        <v>99</v>
      </c>
      <c r="M50" s="12"/>
      <c r="N50" s="13" t="s">
        <v>99</v>
      </c>
      <c r="O50" s="12"/>
    </row>
    <row r="51" spans="1:20" ht="15.75" thickBot="1"/>
    <row r="52" spans="1:20" ht="15.75" thickBot="1">
      <c r="A52" s="760" t="s">
        <v>301</v>
      </c>
      <c r="B52" s="760"/>
    </row>
    <row r="53" spans="1:20">
      <c r="A53" s="7" t="s">
        <v>302</v>
      </c>
      <c r="B53" s="21"/>
    </row>
    <row r="54" spans="1:20">
      <c r="A54" s="7" t="s">
        <v>303</v>
      </c>
      <c r="B54" s="21"/>
    </row>
    <row r="55" spans="1:20">
      <c r="A55" s="7" t="s">
        <v>304</v>
      </c>
      <c r="B55" s="21"/>
    </row>
    <row r="56" spans="1:20" ht="15.75" thickBot="1">
      <c r="A56" s="8" t="s">
        <v>305</v>
      </c>
      <c r="B56" s="22"/>
    </row>
    <row r="57" spans="1:20" ht="15.75" thickBot="1"/>
    <row r="58" spans="1:20" ht="30.75" thickBot="1">
      <c r="A58" s="18" t="s">
        <v>306</v>
      </c>
      <c r="B58" s="18" t="s">
        <v>307</v>
      </c>
      <c r="C58" s="18" t="s">
        <v>308</v>
      </c>
      <c r="D58" s="18" t="s">
        <v>309</v>
      </c>
      <c r="E58" s="18" t="s">
        <v>310</v>
      </c>
      <c r="F58" s="18" t="s">
        <v>311</v>
      </c>
    </row>
    <row r="59" spans="1:20">
      <c r="A59" s="14" t="s">
        <v>312</v>
      </c>
      <c r="B59" s="19"/>
      <c r="C59" s="19"/>
      <c r="D59" s="19"/>
      <c r="E59" s="19"/>
      <c r="F59" s="15"/>
    </row>
    <row r="60" spans="1:20" ht="15.75" thickBot="1">
      <c r="A60" s="16" t="s">
        <v>313</v>
      </c>
      <c r="B60" s="20"/>
      <c r="C60" s="20"/>
      <c r="D60" s="20"/>
      <c r="E60" s="20"/>
      <c r="F60" s="17"/>
    </row>
    <row r="61" spans="1:20" ht="15.75" thickBot="1"/>
    <row r="62" spans="1:20" ht="15.75" thickBot="1">
      <c r="A62" s="753" t="s">
        <v>314</v>
      </c>
      <c r="B62" s="753"/>
    </row>
    <row r="63" spans="1:20" ht="28.5">
      <c r="A63" s="14" t="s">
        <v>315</v>
      </c>
      <c r="B63" s="15"/>
    </row>
    <row r="64" spans="1:20">
      <c r="A64" s="14" t="s">
        <v>316</v>
      </c>
      <c r="B64" s="15"/>
    </row>
    <row r="65" spans="1:2" ht="28.5">
      <c r="A65" s="14" t="s">
        <v>317</v>
      </c>
      <c r="B65" s="15"/>
    </row>
    <row r="66" spans="1:2" ht="43.5" thickBot="1">
      <c r="A66" s="16" t="s">
        <v>318</v>
      </c>
      <c r="B66" s="17"/>
    </row>
  </sheetData>
  <sheetProtection algorithmName="SHA-512" hashValue="YGel4uFj17YKGbdbc+KudeT8SOu1Rf2JAvnqUENqKsnBW1DjTSJT8fKIJ3tRjKU3N3OluKX2ZCwdxQlcMEDBNw==" saltValue="7qqsnuJ0rcXnQUQr3Mq8Cw==" spinCount="100000" sheet="1" objects="1" scenarios="1" formatColumns="0" formatRows="0" autoFilter="0"/>
  <mergeCells count="11">
    <mergeCell ref="A62:B62"/>
    <mergeCell ref="A1:O1"/>
    <mergeCell ref="A2:O2"/>
    <mergeCell ref="A4:B4"/>
    <mergeCell ref="A13:B13"/>
    <mergeCell ref="A32:O32"/>
    <mergeCell ref="A33:O33"/>
    <mergeCell ref="A35:O35"/>
    <mergeCell ref="A38:O38"/>
    <mergeCell ref="A41:O41"/>
    <mergeCell ref="A52:B52"/>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711E5-864F-4799-A8B8-6AA1F541885D}">
  <sheetPr codeName="Sheet14">
    <tabColor theme="1"/>
  </sheetPr>
  <dimension ref="A1:P485"/>
  <sheetViews>
    <sheetView zoomScaleNormal="100" workbookViewId="0"/>
  </sheetViews>
  <sheetFormatPr defaultRowHeight="15"/>
  <cols>
    <col min="1" max="1" width="41.28515625" customWidth="1"/>
    <col min="2" max="2" width="20.85546875" customWidth="1"/>
    <col min="3" max="3" width="25.85546875" bestFit="1" customWidth="1"/>
    <col min="4" max="5" width="18.140625" customWidth="1"/>
    <col min="6" max="6" width="21.7109375" customWidth="1"/>
    <col min="7" max="9" width="18.140625" customWidth="1"/>
    <col min="13" max="13" width="9.140625" customWidth="1"/>
  </cols>
  <sheetData>
    <row r="1" spans="1:2">
      <c r="A1" s="48" t="s">
        <v>539</v>
      </c>
      <c r="B1" s="148" t="s">
        <v>962</v>
      </c>
    </row>
    <row r="2" spans="1:2">
      <c r="A2" s="48" t="s">
        <v>41</v>
      </c>
      <c r="B2" s="50">
        <v>45177</v>
      </c>
    </row>
    <row r="3" spans="1:2">
      <c r="A3" s="48" t="s">
        <v>42</v>
      </c>
      <c r="B3" s="49" t="s">
        <v>43</v>
      </c>
    </row>
    <row r="4" spans="1:2">
      <c r="A4" s="48" t="s">
        <v>44</v>
      </c>
      <c r="B4" s="49" t="s">
        <v>961</v>
      </c>
    </row>
    <row r="5" spans="1:2">
      <c r="A5" s="49"/>
      <c r="B5" s="49"/>
    </row>
    <row r="6" spans="1:2">
      <c r="A6" s="48" t="s">
        <v>45</v>
      </c>
      <c r="B6" s="49" t="s">
        <v>1050</v>
      </c>
    </row>
    <row r="7" spans="1:2">
      <c r="A7" s="48"/>
      <c r="B7" s="49" t="s">
        <v>1099</v>
      </c>
    </row>
    <row r="8" spans="1:2">
      <c r="A8" s="48"/>
      <c r="B8" s="49" t="s">
        <v>1100</v>
      </c>
    </row>
    <row r="9" spans="1:2">
      <c r="A9" s="48"/>
    </row>
    <row r="10" spans="1:2">
      <c r="A10" s="48" t="s">
        <v>543</v>
      </c>
      <c r="B10" s="175" t="s">
        <v>544</v>
      </c>
    </row>
    <row r="11" spans="1:2">
      <c r="A11" s="48" t="s">
        <v>541</v>
      </c>
      <c r="B11" s="148" t="s">
        <v>483</v>
      </c>
    </row>
    <row r="12" spans="1:2">
      <c r="A12" s="48"/>
      <c r="B12" s="27" t="s">
        <v>540</v>
      </c>
    </row>
    <row r="13" spans="1:2">
      <c r="A13" s="48"/>
      <c r="B13" s="27" t="s">
        <v>542</v>
      </c>
    </row>
    <row r="14" spans="1:2">
      <c r="A14" s="48"/>
      <c r="B14" s="27"/>
    </row>
    <row r="15" spans="1:2">
      <c r="A15" s="48"/>
      <c r="B15" s="27"/>
    </row>
    <row r="16" spans="1:2">
      <c r="A16" s="213" t="s">
        <v>886</v>
      </c>
    </row>
    <row r="17" spans="1:9" ht="15.75" thickBot="1">
      <c r="A17" s="752" t="s">
        <v>47</v>
      </c>
      <c r="B17" s="752"/>
      <c r="C17" s="752"/>
      <c r="D17" s="752"/>
      <c r="E17" s="752"/>
      <c r="F17" s="752"/>
      <c r="G17" s="752"/>
      <c r="H17" s="752"/>
      <c r="I17" s="752"/>
    </row>
    <row r="18" spans="1:9">
      <c r="A18" s="51" t="s">
        <v>48</v>
      </c>
      <c r="B18" s="769" t="s">
        <v>49</v>
      </c>
      <c r="C18" s="769"/>
      <c r="D18" s="770"/>
      <c r="E18" s="102"/>
      <c r="F18" s="120"/>
    </row>
    <row r="19" spans="1:9" ht="31.5" thickBot="1">
      <c r="A19" s="238" t="s">
        <v>50</v>
      </c>
      <c r="B19" s="239" t="s">
        <v>51</v>
      </c>
      <c r="C19" s="239" t="s">
        <v>52</v>
      </c>
      <c r="D19" s="240" t="s">
        <v>53</v>
      </c>
      <c r="E19" s="241" t="s">
        <v>448</v>
      </c>
      <c r="F19" s="248" t="s">
        <v>901</v>
      </c>
      <c r="G19" s="227"/>
      <c r="H19" s="228" t="s">
        <v>878</v>
      </c>
    </row>
    <row r="20" spans="1:9" ht="17.25">
      <c r="A20" s="149" t="s">
        <v>500</v>
      </c>
      <c r="B20" s="236">
        <v>6.9999999999999999E-4</v>
      </c>
      <c r="C20" s="237">
        <v>3.3E-4</v>
      </c>
      <c r="D20" s="150">
        <v>5.0000000000000002E-5</v>
      </c>
      <c r="E20" s="237" t="s">
        <v>308</v>
      </c>
      <c r="F20" s="151"/>
      <c r="H20" s="32" t="s">
        <v>504</v>
      </c>
    </row>
    <row r="21" spans="1:9" ht="17.25">
      <c r="A21" s="149" t="s">
        <v>501</v>
      </c>
      <c r="B21" s="237">
        <v>2.1000000000000001E-4</v>
      </c>
      <c r="C21" s="237">
        <v>1E-4</v>
      </c>
      <c r="D21" s="150">
        <v>1.5E-5</v>
      </c>
      <c r="E21" s="237" t="s">
        <v>307</v>
      </c>
      <c r="F21" s="151"/>
      <c r="H21" s="32" t="s">
        <v>504</v>
      </c>
    </row>
    <row r="22" spans="1:9" ht="17.25">
      <c r="A22" s="149" t="s">
        <v>502</v>
      </c>
      <c r="B22" s="237">
        <v>5.4000000000000003E-3</v>
      </c>
      <c r="C22" s="237">
        <v>2.3999999999999998E-3</v>
      </c>
      <c r="D22" s="150">
        <v>3.6000000000000002E-4</v>
      </c>
      <c r="E22" s="237" t="s">
        <v>308</v>
      </c>
      <c r="F22" s="151"/>
      <c r="H22" s="32" t="s">
        <v>504</v>
      </c>
    </row>
    <row r="23" spans="1:9" ht="17.25">
      <c r="A23" s="149" t="s">
        <v>503</v>
      </c>
      <c r="B23" s="237">
        <v>1.1999999999999999E-3</v>
      </c>
      <c r="C23" s="237">
        <v>5.4000000000000001E-4</v>
      </c>
      <c r="D23" s="150">
        <v>1E-4</v>
      </c>
      <c r="E23" s="237" t="s">
        <v>307</v>
      </c>
      <c r="F23" s="151"/>
      <c r="H23" s="32" t="s">
        <v>504</v>
      </c>
    </row>
    <row r="24" spans="1:9">
      <c r="A24" s="149" t="s">
        <v>54</v>
      </c>
      <c r="B24" s="242">
        <v>5.4000000000000003E-3</v>
      </c>
      <c r="C24" s="242">
        <v>2.3999999999999998E-3</v>
      </c>
      <c r="D24" s="152">
        <v>3.6000000000000002E-4</v>
      </c>
      <c r="E24" s="242" t="s">
        <v>308</v>
      </c>
      <c r="F24" s="151"/>
      <c r="H24" s="32" t="s">
        <v>504</v>
      </c>
    </row>
    <row r="25" spans="1:9">
      <c r="A25" s="149" t="s">
        <v>55</v>
      </c>
      <c r="B25" s="242">
        <v>1.1999999999999999E-3</v>
      </c>
      <c r="C25" s="242">
        <v>5.4000000000000001E-4</v>
      </c>
      <c r="D25" s="152">
        <v>1E-4</v>
      </c>
      <c r="E25" s="242" t="s">
        <v>307</v>
      </c>
      <c r="F25" s="151"/>
      <c r="H25" s="32" t="s">
        <v>504</v>
      </c>
    </row>
    <row r="26" spans="1:9">
      <c r="A26" s="149" t="s">
        <v>56</v>
      </c>
      <c r="B26" s="242">
        <v>3.9E-2</v>
      </c>
      <c r="C26" s="242">
        <v>1.4999999999999999E-2</v>
      </c>
      <c r="D26" s="152">
        <v>2.3E-3</v>
      </c>
      <c r="E26" s="242" t="s">
        <v>308</v>
      </c>
      <c r="F26" s="151"/>
      <c r="H26" s="32" t="s">
        <v>504</v>
      </c>
    </row>
    <row r="27" spans="1:9" ht="15.75" thickBot="1">
      <c r="A27" s="149" t="s">
        <v>57</v>
      </c>
      <c r="B27" s="242">
        <v>3.0000000000000001E-3</v>
      </c>
      <c r="C27" s="242">
        <v>1.1999999999999999E-3</v>
      </c>
      <c r="D27" s="152">
        <v>6.9999999999999994E-5</v>
      </c>
      <c r="E27" s="242" t="s">
        <v>307</v>
      </c>
      <c r="F27" s="151"/>
      <c r="H27" s="32" t="s">
        <v>504</v>
      </c>
    </row>
    <row r="28" spans="1:9">
      <c r="A28" s="219" t="s">
        <v>58</v>
      </c>
      <c r="B28" s="243">
        <v>2.5000000000000001E-2</v>
      </c>
      <c r="C28" s="243">
        <v>8.6999999999999994E-3</v>
      </c>
      <c r="D28" s="156">
        <v>1.2999999999999999E-3</v>
      </c>
      <c r="E28" s="243" t="s">
        <v>308</v>
      </c>
      <c r="F28" s="219" t="s">
        <v>58</v>
      </c>
    </row>
    <row r="29" spans="1:9">
      <c r="A29" s="52" t="s">
        <v>59</v>
      </c>
      <c r="B29" s="243">
        <v>2.2000000000000001E-3</v>
      </c>
      <c r="C29" s="243">
        <v>7.3999999999999999E-4</v>
      </c>
      <c r="D29" s="156">
        <v>5.0000000000000002E-5</v>
      </c>
      <c r="E29" s="243" t="s">
        <v>307</v>
      </c>
      <c r="F29" s="52" t="s">
        <v>59</v>
      </c>
    </row>
    <row r="30" spans="1:9">
      <c r="A30" s="52" t="s">
        <v>60</v>
      </c>
      <c r="B30" s="243">
        <v>0.3</v>
      </c>
      <c r="C30" s="243">
        <v>7.1999999999999995E-2</v>
      </c>
      <c r="D30" s="156">
        <v>1.0999999999999999E-2</v>
      </c>
      <c r="E30" s="243" t="s">
        <v>308</v>
      </c>
      <c r="F30" s="52" t="s">
        <v>60</v>
      </c>
      <c r="H30" s="32" t="s">
        <v>900</v>
      </c>
    </row>
    <row r="31" spans="1:9">
      <c r="A31" s="52" t="s">
        <v>61</v>
      </c>
      <c r="B31" s="243">
        <v>3.5999999999999999E-3</v>
      </c>
      <c r="C31" s="243">
        <v>2.2000000000000001E-3</v>
      </c>
      <c r="D31" s="156">
        <v>3.3E-4</v>
      </c>
      <c r="E31" s="243" t="s">
        <v>307</v>
      </c>
      <c r="F31" s="52" t="s">
        <v>61</v>
      </c>
      <c r="H31" s="32" t="s">
        <v>900</v>
      </c>
    </row>
    <row r="32" spans="1:9">
      <c r="A32" s="52" t="s">
        <v>62</v>
      </c>
      <c r="B32" s="243">
        <v>3.0000000000000001E-3</v>
      </c>
      <c r="C32" s="243">
        <v>1.1000000000000001E-3</v>
      </c>
      <c r="D32" s="156">
        <v>1.7000000000000001E-4</v>
      </c>
      <c r="E32" s="243" t="s">
        <v>308</v>
      </c>
      <c r="F32" s="52" t="s">
        <v>62</v>
      </c>
    </row>
    <row r="33" spans="1:8">
      <c r="A33" s="52" t="s">
        <v>63</v>
      </c>
      <c r="B33" s="243">
        <v>1.3999999999999999E-4</v>
      </c>
      <c r="C33" s="243">
        <v>4.6E-5</v>
      </c>
      <c r="D33" s="156">
        <v>1.2999999999999999E-5</v>
      </c>
      <c r="E33" s="243" t="s">
        <v>307</v>
      </c>
      <c r="F33" s="52" t="s">
        <v>63</v>
      </c>
    </row>
    <row r="34" spans="1:8">
      <c r="A34" s="52" t="s">
        <v>64</v>
      </c>
      <c r="B34" s="244">
        <v>3.4E-5</v>
      </c>
      <c r="C34" s="243">
        <v>1.5999999999999999E-5</v>
      </c>
      <c r="D34" s="156">
        <v>1.9999999999999999E-6</v>
      </c>
      <c r="E34" s="243" t="s">
        <v>308</v>
      </c>
      <c r="F34" s="245" t="s">
        <v>907</v>
      </c>
      <c r="H34" t="s">
        <v>910</v>
      </c>
    </row>
    <row r="35" spans="1:8" ht="15.75" thickBot="1">
      <c r="A35" s="53" t="s">
        <v>65</v>
      </c>
      <c r="B35" s="119">
        <v>2.1000000000000001E-4</v>
      </c>
      <c r="C35" s="54">
        <v>1E-4</v>
      </c>
      <c r="D35" s="55">
        <v>1.5E-5</v>
      </c>
      <c r="E35" s="54" t="s">
        <v>308</v>
      </c>
      <c r="F35" s="246" t="s">
        <v>908</v>
      </c>
      <c r="H35" t="s">
        <v>909</v>
      </c>
    </row>
    <row r="36" spans="1:8">
      <c r="A36" s="219" t="s">
        <v>484</v>
      </c>
      <c r="B36" s="243">
        <v>3.0000000000000001E-3</v>
      </c>
      <c r="C36" s="243">
        <v>1.1000000000000001E-3</v>
      </c>
      <c r="D36" s="156">
        <v>1.7000000000000001E-4</v>
      </c>
      <c r="E36" s="243" t="s">
        <v>308</v>
      </c>
      <c r="F36" s="224" t="s">
        <v>484</v>
      </c>
    </row>
    <row r="37" spans="1:8" ht="15.75" thickBot="1">
      <c r="A37" s="53" t="s">
        <v>67</v>
      </c>
      <c r="B37" s="56">
        <v>1.3999999999999999E-4</v>
      </c>
      <c r="C37" s="56">
        <v>4.6E-5</v>
      </c>
      <c r="D37" s="55">
        <v>1.2999999999999999E-5</v>
      </c>
      <c r="E37" s="56" t="s">
        <v>307</v>
      </c>
      <c r="F37" s="247" t="s">
        <v>67</v>
      </c>
    </row>
    <row r="38" spans="1:8" ht="15.75" thickBot="1">
      <c r="A38" s="774" t="s">
        <v>66</v>
      </c>
      <c r="B38" s="775"/>
      <c r="C38" s="775"/>
      <c r="D38" s="776"/>
      <c r="E38" s="118"/>
      <c r="F38" s="122"/>
    </row>
    <row r="39" spans="1:8">
      <c r="A39" s="771" t="s">
        <v>68</v>
      </c>
      <c r="B39" s="771"/>
      <c r="C39" s="771"/>
      <c r="D39" s="771"/>
    </row>
    <row r="40" spans="1:8">
      <c r="A40" s="57" t="s">
        <v>69</v>
      </c>
      <c r="B40" s="57"/>
      <c r="C40" s="57"/>
      <c r="D40" s="57"/>
    </row>
    <row r="41" spans="1:8" ht="18.75">
      <c r="A41" s="771" t="s">
        <v>70</v>
      </c>
      <c r="B41" s="771"/>
      <c r="C41" s="771"/>
      <c r="D41" s="771"/>
    </row>
    <row r="42" spans="1:8">
      <c r="A42" s="773" t="s">
        <v>71</v>
      </c>
      <c r="B42" s="773"/>
      <c r="C42" s="773"/>
      <c r="D42" s="773"/>
    </row>
    <row r="43" spans="1:8">
      <c r="A43" s="772" t="s">
        <v>72</v>
      </c>
      <c r="B43" s="772"/>
      <c r="C43" s="772"/>
      <c r="D43" s="772"/>
    </row>
    <row r="44" spans="1:8" ht="18.75">
      <c r="A44" s="767" t="s">
        <v>73</v>
      </c>
      <c r="B44" s="767"/>
      <c r="C44" s="767"/>
      <c r="D44" s="767"/>
    </row>
    <row r="45" spans="1:8">
      <c r="A45" s="768" t="s">
        <v>74</v>
      </c>
      <c r="B45" s="768"/>
      <c r="C45" s="768"/>
      <c r="D45" s="768"/>
    </row>
    <row r="46" spans="1:8">
      <c r="A46" s="59" t="s">
        <v>432</v>
      </c>
    </row>
    <row r="48" spans="1:8">
      <c r="A48" s="31" t="s">
        <v>883</v>
      </c>
    </row>
    <row r="49" spans="1:8" ht="15.75" thickBot="1">
      <c r="A49" s="31" t="s">
        <v>884</v>
      </c>
      <c r="B49" s="31" t="s">
        <v>885</v>
      </c>
    </row>
    <row r="50" spans="1:8" ht="15.75" thickBot="1">
      <c r="A50" s="96" t="s">
        <v>428</v>
      </c>
      <c r="B50" s="97" t="s">
        <v>396</v>
      </c>
      <c r="C50" s="97" t="s">
        <v>890</v>
      </c>
      <c r="D50" s="97" t="s">
        <v>955</v>
      </c>
      <c r="E50" s="97" t="s">
        <v>889</v>
      </c>
    </row>
    <row r="51" spans="1:8">
      <c r="A51" s="98" t="s">
        <v>397</v>
      </c>
      <c r="B51" s="146">
        <v>0</v>
      </c>
      <c r="C51" s="146" t="s">
        <v>308</v>
      </c>
      <c r="E51" s="121"/>
    </row>
    <row r="52" spans="1:8">
      <c r="A52" s="99" t="s">
        <v>395</v>
      </c>
      <c r="B52" s="144">
        <v>0.5</v>
      </c>
      <c r="C52" s="144" t="s">
        <v>308</v>
      </c>
      <c r="D52" s="434" t="s">
        <v>307</v>
      </c>
      <c r="E52" s="121"/>
    </row>
    <row r="53" spans="1:8">
      <c r="A53" s="99" t="s">
        <v>429</v>
      </c>
      <c r="B53" s="144">
        <v>0.7</v>
      </c>
      <c r="C53" s="144" t="s">
        <v>308</v>
      </c>
      <c r="D53" s="434" t="s">
        <v>307</v>
      </c>
      <c r="E53" s="121"/>
    </row>
    <row r="54" spans="1:8">
      <c r="A54" s="99" t="s">
        <v>430</v>
      </c>
      <c r="B54" s="144">
        <v>0.8</v>
      </c>
      <c r="C54" s="144" t="s">
        <v>308</v>
      </c>
      <c r="D54" s="434"/>
      <c r="E54" s="121"/>
    </row>
    <row r="55" spans="1:8">
      <c r="A55" s="99" t="s">
        <v>431</v>
      </c>
      <c r="B55" s="144">
        <v>0.9</v>
      </c>
      <c r="C55" s="144" t="s">
        <v>308</v>
      </c>
      <c r="D55" s="434"/>
      <c r="E55" s="121"/>
    </row>
    <row r="56" spans="1:8">
      <c r="A56" s="99" t="s">
        <v>414</v>
      </c>
      <c r="B56" s="100" t="s">
        <v>481</v>
      </c>
      <c r="C56" s="100" t="s">
        <v>307</v>
      </c>
      <c r="D56" s="433"/>
      <c r="E56" s="121"/>
    </row>
    <row r="57" spans="1:8">
      <c r="A57" s="216" t="s">
        <v>401</v>
      </c>
      <c r="B57" s="144">
        <v>0.95</v>
      </c>
      <c r="C57" s="144" t="s">
        <v>308</v>
      </c>
      <c r="D57" s="434" t="s">
        <v>307</v>
      </c>
      <c r="E57" s="121"/>
    </row>
    <row r="58" spans="1:8" ht="15.75" thickBot="1">
      <c r="A58" s="101" t="s">
        <v>882</v>
      </c>
      <c r="B58" s="145" t="s">
        <v>99</v>
      </c>
      <c r="C58" s="145" t="s">
        <v>307</v>
      </c>
      <c r="D58" s="434"/>
      <c r="E58" s="220" t="s">
        <v>877</v>
      </c>
    </row>
    <row r="59" spans="1:8">
      <c r="A59" s="711" t="s">
        <v>887</v>
      </c>
      <c r="B59" s="711"/>
      <c r="C59" s="711"/>
      <c r="D59" s="711"/>
      <c r="E59" s="711"/>
      <c r="F59" s="711"/>
      <c r="G59" s="711"/>
      <c r="H59" s="711"/>
    </row>
    <row r="61" spans="1:8" ht="15.75" thickBot="1">
      <c r="A61" s="31" t="s">
        <v>888</v>
      </c>
    </row>
    <row r="62" spans="1:8">
      <c r="A62" s="219" t="s">
        <v>849</v>
      </c>
      <c r="B62" s="219" t="s">
        <v>8</v>
      </c>
    </row>
    <row r="63" spans="1:8">
      <c r="A63" s="52" t="s">
        <v>848</v>
      </c>
      <c r="B63" s="52" t="s">
        <v>10</v>
      </c>
    </row>
    <row r="64" spans="1:8">
      <c r="A64" s="52" t="s">
        <v>847</v>
      </c>
      <c r="B64" s="52" t="s">
        <v>12</v>
      </c>
    </row>
    <row r="65" spans="1:2">
      <c r="A65" s="52" t="s">
        <v>846</v>
      </c>
      <c r="B65" s="52" t="s">
        <v>942</v>
      </c>
    </row>
    <row r="66" spans="1:2">
      <c r="A66" s="52" t="s">
        <v>845</v>
      </c>
      <c r="B66" s="52" t="s">
        <v>943</v>
      </c>
    </row>
    <row r="67" spans="1:2">
      <c r="A67" s="52" t="s">
        <v>842</v>
      </c>
      <c r="B67" s="52" t="s">
        <v>945</v>
      </c>
    </row>
    <row r="68" spans="1:2">
      <c r="A68" s="52" t="s">
        <v>843</v>
      </c>
      <c r="B68" s="52" t="s">
        <v>944</v>
      </c>
    </row>
    <row r="69" spans="1:2">
      <c r="A69" s="52" t="s">
        <v>844</v>
      </c>
      <c r="B69" s="52" t="s">
        <v>18</v>
      </c>
    </row>
    <row r="70" spans="1:2" ht="15.75" thickBot="1">
      <c r="A70" s="234"/>
      <c r="B70" s="117"/>
    </row>
    <row r="73" spans="1:2" ht="15.75" thickBot="1">
      <c r="A73" s="31" t="s">
        <v>988</v>
      </c>
    </row>
    <row r="74" spans="1:2">
      <c r="A74" s="120" t="s">
        <v>965</v>
      </c>
    </row>
    <row r="75" spans="1:2">
      <c r="A75" s="121" t="s">
        <v>989</v>
      </c>
    </row>
    <row r="76" spans="1:2">
      <c r="A76" s="121" t="s">
        <v>990</v>
      </c>
    </row>
    <row r="77" spans="1:2">
      <c r="A77" s="121" t="s">
        <v>991</v>
      </c>
    </row>
    <row r="78" spans="1:2">
      <c r="A78" s="121" t="s">
        <v>994</v>
      </c>
    </row>
    <row r="79" spans="1:2">
      <c r="A79" s="121" t="s">
        <v>995</v>
      </c>
    </row>
    <row r="80" spans="1:2">
      <c r="A80" s="121" t="s">
        <v>992</v>
      </c>
    </row>
    <row r="81" spans="1:9">
      <c r="A81" s="121" t="s">
        <v>993</v>
      </c>
    </row>
    <row r="82" spans="1:9">
      <c r="A82" s="121" t="s">
        <v>996</v>
      </c>
    </row>
    <row r="83" spans="1:9">
      <c r="A83" s="121" t="s">
        <v>997</v>
      </c>
    </row>
    <row r="84" spans="1:9">
      <c r="A84" s="121" t="s">
        <v>999</v>
      </c>
    </row>
    <row r="85" spans="1:9">
      <c r="A85" s="121" t="s">
        <v>1000</v>
      </c>
    </row>
    <row r="86" spans="1:9">
      <c r="A86" s="121" t="s">
        <v>998</v>
      </c>
    </row>
    <row r="87" spans="1:9">
      <c r="A87" s="121" t="s">
        <v>1012</v>
      </c>
    </row>
    <row r="88" spans="1:9" ht="15.75" thickBot="1">
      <c r="A88" s="122"/>
    </row>
    <row r="89" spans="1:9" ht="15.75" thickBot="1"/>
    <row r="90" spans="1:9" ht="15.75" thickTop="1">
      <c r="A90" s="103" t="s">
        <v>404</v>
      </c>
      <c r="B90" s="104"/>
      <c r="C90" s="104"/>
      <c r="D90" s="104"/>
      <c r="E90" s="104"/>
      <c r="F90" s="105"/>
    </row>
    <row r="96" spans="1:9" s="107" customFormat="1" ht="32.25" customHeight="1" thickBot="1">
      <c r="A96" s="765" t="s">
        <v>408</v>
      </c>
      <c r="B96" s="765"/>
      <c r="C96" s="765"/>
      <c r="D96" s="765"/>
      <c r="E96" s="765"/>
      <c r="F96" s="765"/>
      <c r="G96" s="765"/>
      <c r="H96" s="766"/>
      <c r="I96" s="106"/>
    </row>
    <row r="97" spans="1:10" s="211" customFormat="1" ht="16.5" thickBot="1">
      <c r="A97" s="108" t="s">
        <v>409</v>
      </c>
      <c r="B97" s="209" t="s">
        <v>38</v>
      </c>
      <c r="C97" s="210" t="s">
        <v>410</v>
      </c>
      <c r="D97" s="218" t="s">
        <v>879</v>
      </c>
      <c r="E97"/>
      <c r="F97"/>
      <c r="G97"/>
      <c r="H97"/>
      <c r="J97" s="212"/>
    </row>
    <row r="98" spans="1:10" s="211" customFormat="1" ht="15.75">
      <c r="A98" s="206" t="s">
        <v>397</v>
      </c>
      <c r="B98" s="153">
        <v>0</v>
      </c>
      <c r="C98" s="154">
        <v>1</v>
      </c>
      <c r="D98" s="217"/>
      <c r="E98"/>
      <c r="F98"/>
      <c r="G98"/>
      <c r="H98"/>
      <c r="J98" s="212"/>
    </row>
    <row r="99" spans="1:10" s="155" customFormat="1" ht="15.75" customHeight="1">
      <c r="A99" s="207" t="s">
        <v>411</v>
      </c>
      <c r="B99" s="214">
        <v>0.5</v>
      </c>
      <c r="C99" s="156">
        <v>0.5</v>
      </c>
      <c r="D99" s="217"/>
      <c r="E99"/>
      <c r="F99"/>
      <c r="G99"/>
      <c r="H99"/>
    </row>
    <row r="100" spans="1:10" s="211" customFormat="1" ht="15.75">
      <c r="A100" s="207" t="s">
        <v>412</v>
      </c>
      <c r="B100" s="214">
        <v>0.7</v>
      </c>
      <c r="C100" s="156">
        <v>0.3</v>
      </c>
      <c r="D100" s="217"/>
      <c r="E100"/>
      <c r="F100"/>
      <c r="G100"/>
      <c r="H100"/>
      <c r="J100" s="212"/>
    </row>
    <row r="101" spans="1:10" s="211" customFormat="1" ht="15.75">
      <c r="A101" s="207" t="s">
        <v>413</v>
      </c>
      <c r="B101" s="214">
        <v>0.8</v>
      </c>
      <c r="C101" s="156">
        <v>0.2</v>
      </c>
      <c r="D101" s="217"/>
      <c r="E101"/>
      <c r="F101"/>
      <c r="G101"/>
      <c r="H101"/>
      <c r="J101" s="212"/>
    </row>
    <row r="102" spans="1:10" s="211" customFormat="1" ht="15.75">
      <c r="A102" s="207" t="s">
        <v>414</v>
      </c>
      <c r="B102" s="157" t="s">
        <v>872</v>
      </c>
      <c r="C102" s="156" t="s">
        <v>415</v>
      </c>
      <c r="D102" s="217"/>
      <c r="E102"/>
      <c r="F102"/>
      <c r="G102"/>
      <c r="H102"/>
      <c r="I102" s="211" t="s">
        <v>441</v>
      </c>
      <c r="J102" s="212"/>
    </row>
    <row r="103" spans="1:10" s="211" customFormat="1" ht="15.75">
      <c r="A103" s="207" t="s">
        <v>416</v>
      </c>
      <c r="B103" s="214">
        <v>0.9</v>
      </c>
      <c r="C103" s="156">
        <v>0.1</v>
      </c>
      <c r="D103" s="217"/>
      <c r="E103"/>
      <c r="F103"/>
      <c r="G103"/>
      <c r="H103"/>
      <c r="J103" s="212"/>
    </row>
    <row r="104" spans="1:10" s="211" customFormat="1" ht="15.75">
      <c r="A104" s="207" t="s">
        <v>417</v>
      </c>
      <c r="B104" s="214">
        <v>0.9</v>
      </c>
      <c r="C104" s="156">
        <v>0.1</v>
      </c>
      <c r="D104" s="217"/>
      <c r="E104"/>
      <c r="F104"/>
      <c r="G104"/>
      <c r="H104"/>
      <c r="J104" s="212"/>
    </row>
    <row r="105" spans="1:10" s="211" customFormat="1" ht="15.75">
      <c r="A105" s="207" t="s">
        <v>418</v>
      </c>
      <c r="B105" s="214">
        <v>0.95</v>
      </c>
      <c r="C105" s="156">
        <v>0.05</v>
      </c>
      <c r="D105" s="217"/>
      <c r="E105"/>
      <c r="F105"/>
      <c r="G105"/>
      <c r="H105"/>
      <c r="J105" s="212"/>
    </row>
    <row r="106" spans="1:10" s="211" customFormat="1" ht="29.25" customHeight="1">
      <c r="A106" s="158" t="s">
        <v>419</v>
      </c>
      <c r="B106" s="215">
        <v>0.98499999999999999</v>
      </c>
      <c r="C106" s="159">
        <v>1.4999999999999999E-2</v>
      </c>
      <c r="D106" s="217"/>
      <c r="E106"/>
      <c r="F106"/>
      <c r="G106"/>
      <c r="H106"/>
      <c r="J106" s="212"/>
    </row>
    <row r="107" spans="1:10" s="211" customFormat="1" ht="16.5" thickBot="1">
      <c r="A107" s="208" t="s">
        <v>1009</v>
      </c>
      <c r="B107" s="160"/>
      <c r="C107" s="161"/>
      <c r="D107" s="217" t="s">
        <v>880</v>
      </c>
      <c r="E107"/>
      <c r="F107"/>
      <c r="G107"/>
      <c r="H107"/>
      <c r="I107" s="212"/>
      <c r="J107" s="212"/>
    </row>
    <row r="108" spans="1:10" s="109" customFormat="1" ht="33" customHeight="1">
      <c r="A108" s="711" t="s">
        <v>442</v>
      </c>
      <c r="B108" s="711"/>
      <c r="C108" s="711"/>
      <c r="D108" s="711"/>
      <c r="E108" s="711"/>
      <c r="F108" s="711"/>
      <c r="G108" s="711"/>
      <c r="H108" s="711"/>
    </row>
    <row r="112" spans="1:10">
      <c r="A112" t="s">
        <v>192</v>
      </c>
      <c r="B112" t="s">
        <v>193</v>
      </c>
    </row>
    <row r="114" spans="1:16">
      <c r="A114" s="47"/>
    </row>
    <row r="115" spans="1:16">
      <c r="A115" s="31" t="s">
        <v>146</v>
      </c>
    </row>
    <row r="116" spans="1:16">
      <c r="A116" s="33" t="s">
        <v>147</v>
      </c>
      <c r="B116" s="33" t="s">
        <v>148</v>
      </c>
      <c r="C116" s="33" t="s">
        <v>149</v>
      </c>
      <c r="D116" s="33" t="s">
        <v>150</v>
      </c>
      <c r="E116" s="33" t="s">
        <v>151</v>
      </c>
      <c r="F116" s="33" t="s">
        <v>152</v>
      </c>
      <c r="G116" s="33" t="s">
        <v>153</v>
      </c>
      <c r="H116" s="33" t="s">
        <v>154</v>
      </c>
      <c r="I116" s="33" t="s">
        <v>155</v>
      </c>
      <c r="J116" s="33" t="s">
        <v>156</v>
      </c>
      <c r="K116" s="33" t="s">
        <v>157</v>
      </c>
      <c r="L116" s="33" t="s">
        <v>158</v>
      </c>
      <c r="M116" s="33" t="s">
        <v>159</v>
      </c>
      <c r="N116" s="33" t="s">
        <v>160</v>
      </c>
      <c r="O116" s="33" t="s">
        <v>161</v>
      </c>
      <c r="P116" s="33" t="s">
        <v>162</v>
      </c>
    </row>
    <row r="117" spans="1:16">
      <c r="A117" s="34" t="s">
        <v>163</v>
      </c>
      <c r="B117" s="35" t="s">
        <v>164</v>
      </c>
      <c r="C117" s="35" t="s">
        <v>165</v>
      </c>
      <c r="D117" s="35">
        <v>34.200000000000003</v>
      </c>
      <c r="E117" s="35">
        <v>37.799999999999997</v>
      </c>
      <c r="F117" s="35">
        <v>44.9</v>
      </c>
      <c r="G117" s="35">
        <v>52.6</v>
      </c>
      <c r="H117" s="35">
        <v>61.2</v>
      </c>
      <c r="I117" s="35">
        <v>69.099999999999994</v>
      </c>
      <c r="J117" s="35">
        <v>72.599999999999994</v>
      </c>
      <c r="K117" s="35">
        <v>72</v>
      </c>
      <c r="L117" s="35">
        <v>64.400000000000006</v>
      </c>
      <c r="M117" s="35">
        <v>54.6</v>
      </c>
      <c r="N117" s="35">
        <v>43.4</v>
      </c>
      <c r="O117" s="35">
        <v>35.200000000000003</v>
      </c>
      <c r="P117" s="36">
        <v>53.6</v>
      </c>
    </row>
    <row r="118" spans="1:16">
      <c r="A118" s="37" t="s">
        <v>163</v>
      </c>
      <c r="B118" s="37" t="s">
        <v>166</v>
      </c>
      <c r="C118" s="37" t="s">
        <v>165</v>
      </c>
      <c r="D118" s="37">
        <v>56.5</v>
      </c>
      <c r="E118" s="37">
        <v>60.6</v>
      </c>
      <c r="F118" s="37">
        <v>68</v>
      </c>
      <c r="G118" s="37">
        <v>76.599999999999994</v>
      </c>
      <c r="H118" s="37">
        <v>83.9</v>
      </c>
      <c r="I118" s="37">
        <v>89.9</v>
      </c>
      <c r="J118" s="37">
        <v>93.6</v>
      </c>
      <c r="K118" s="37">
        <v>92.8</v>
      </c>
      <c r="L118" s="37">
        <v>85.9</v>
      </c>
      <c r="M118" s="37">
        <v>76.8</v>
      </c>
      <c r="N118" s="37">
        <v>65.400000000000006</v>
      </c>
      <c r="O118" s="37">
        <v>57.4</v>
      </c>
      <c r="P118" s="38">
        <v>75.599999999999994</v>
      </c>
    </row>
    <row r="119" spans="1:16">
      <c r="A119" s="37" t="s">
        <v>163</v>
      </c>
      <c r="B119" s="37" t="s">
        <v>167</v>
      </c>
      <c r="C119" s="37" t="s">
        <v>168</v>
      </c>
      <c r="D119" s="37">
        <v>11</v>
      </c>
      <c r="E119" s="37">
        <v>11.4</v>
      </c>
      <c r="F119" s="37">
        <v>12.5</v>
      </c>
      <c r="G119" s="37">
        <v>13.2</v>
      </c>
      <c r="H119" s="37">
        <v>11.9</v>
      </c>
      <c r="I119" s="37">
        <v>11.2</v>
      </c>
      <c r="J119" s="37">
        <v>10.1</v>
      </c>
      <c r="K119" s="37">
        <v>8.6999999999999993</v>
      </c>
      <c r="L119" s="37">
        <v>8.9</v>
      </c>
      <c r="M119" s="37">
        <v>10.3</v>
      </c>
      <c r="N119" s="37">
        <v>10.7</v>
      </c>
      <c r="O119" s="37">
        <v>10.7</v>
      </c>
      <c r="P119" s="38">
        <v>11</v>
      </c>
    </row>
    <row r="120" spans="1:16">
      <c r="A120" s="37" t="s">
        <v>163</v>
      </c>
      <c r="B120" s="37" t="s">
        <v>169</v>
      </c>
      <c r="C120" s="37" t="s">
        <v>170</v>
      </c>
      <c r="D120" s="37">
        <v>959</v>
      </c>
      <c r="E120" s="37">
        <v>1205</v>
      </c>
      <c r="F120" s="37">
        <v>1557</v>
      </c>
      <c r="G120" s="37">
        <v>1936</v>
      </c>
      <c r="H120" s="37">
        <v>2052</v>
      </c>
      <c r="I120" s="37">
        <v>2245</v>
      </c>
      <c r="J120" s="37">
        <v>2252</v>
      </c>
      <c r="K120" s="37">
        <v>2006</v>
      </c>
      <c r="L120" s="37">
        <v>1701</v>
      </c>
      <c r="M120" s="37">
        <v>1375</v>
      </c>
      <c r="N120" s="37">
        <v>1046</v>
      </c>
      <c r="O120" s="37">
        <v>902</v>
      </c>
      <c r="P120" s="38">
        <v>1603</v>
      </c>
    </row>
    <row r="121" spans="1:16">
      <c r="A121" s="39" t="s">
        <v>163</v>
      </c>
      <c r="B121" s="40" t="s">
        <v>171</v>
      </c>
      <c r="C121" s="40" t="s">
        <v>172</v>
      </c>
      <c r="D121" s="40" t="s">
        <v>30</v>
      </c>
      <c r="E121" s="40" t="s">
        <v>30</v>
      </c>
      <c r="F121" s="40" t="s">
        <v>30</v>
      </c>
      <c r="G121" s="40" t="s">
        <v>30</v>
      </c>
      <c r="H121" s="40" t="s">
        <v>30</v>
      </c>
      <c r="I121" s="40" t="s">
        <v>30</v>
      </c>
      <c r="J121" s="40" t="s">
        <v>30</v>
      </c>
      <c r="K121" s="40" t="s">
        <v>30</v>
      </c>
      <c r="L121" s="40" t="s">
        <v>30</v>
      </c>
      <c r="M121" s="40" t="s">
        <v>30</v>
      </c>
      <c r="N121" s="40" t="s">
        <v>30</v>
      </c>
      <c r="O121" s="40" t="s">
        <v>30</v>
      </c>
      <c r="P121" s="41">
        <v>13.79</v>
      </c>
    </row>
    <row r="122" spans="1:16">
      <c r="A122" s="34" t="s">
        <v>173</v>
      </c>
      <c r="B122" s="37" t="s">
        <v>164</v>
      </c>
      <c r="C122" s="37" t="s">
        <v>165</v>
      </c>
      <c r="D122" s="37">
        <v>24.9</v>
      </c>
      <c r="E122" s="37">
        <v>28</v>
      </c>
      <c r="F122" s="37">
        <v>34.1</v>
      </c>
      <c r="G122" s="37">
        <v>42.4</v>
      </c>
      <c r="H122" s="37">
        <v>52.8</v>
      </c>
      <c r="I122" s="37">
        <v>61.7</v>
      </c>
      <c r="J122" s="37">
        <v>65.8</v>
      </c>
      <c r="K122" s="37">
        <v>64.8</v>
      </c>
      <c r="L122" s="37">
        <v>56.9</v>
      </c>
      <c r="M122" s="37">
        <v>45.3</v>
      </c>
      <c r="N122" s="37">
        <v>33.200000000000003</v>
      </c>
      <c r="O122" s="37">
        <v>25.8</v>
      </c>
      <c r="P122" s="38">
        <v>44.7</v>
      </c>
    </row>
    <row r="123" spans="1:16">
      <c r="A123" s="37" t="s">
        <v>173</v>
      </c>
      <c r="B123" s="37" t="s">
        <v>166</v>
      </c>
      <c r="C123" s="37" t="s">
        <v>165</v>
      </c>
      <c r="D123" s="37">
        <v>50.1</v>
      </c>
      <c r="E123" s="37">
        <v>54.4</v>
      </c>
      <c r="F123" s="37">
        <v>61.9</v>
      </c>
      <c r="G123" s="37">
        <v>70</v>
      </c>
      <c r="H123" s="37">
        <v>78.900000000000006</v>
      </c>
      <c r="I123" s="37">
        <v>87.1</v>
      </c>
      <c r="J123" s="37">
        <v>90.5</v>
      </c>
      <c r="K123" s="37">
        <v>88.3</v>
      </c>
      <c r="L123" s="37">
        <v>81.8</v>
      </c>
      <c r="M123" s="37">
        <v>71.3</v>
      </c>
      <c r="N123" s="37">
        <v>59</v>
      </c>
      <c r="O123" s="37">
        <v>50.1</v>
      </c>
      <c r="P123" s="38">
        <v>70.3</v>
      </c>
    </row>
    <row r="124" spans="1:16">
      <c r="A124" s="37" t="s">
        <v>173</v>
      </c>
      <c r="B124" s="37" t="s">
        <v>167</v>
      </c>
      <c r="C124" s="37" t="s">
        <v>168</v>
      </c>
      <c r="D124" s="37">
        <v>12.1</v>
      </c>
      <c r="E124" s="37">
        <v>12.5</v>
      </c>
      <c r="F124" s="37">
        <v>13.9</v>
      </c>
      <c r="G124" s="37">
        <v>14.8</v>
      </c>
      <c r="H124" s="37">
        <v>13.6</v>
      </c>
      <c r="I124" s="37">
        <v>13.9</v>
      </c>
      <c r="J124" s="37">
        <v>12.3</v>
      </c>
      <c r="K124" s="37">
        <v>11.6</v>
      </c>
      <c r="L124" s="37">
        <v>12.1</v>
      </c>
      <c r="M124" s="37">
        <v>12.5</v>
      </c>
      <c r="N124" s="37">
        <v>12.5</v>
      </c>
      <c r="O124" s="37">
        <v>12.1</v>
      </c>
      <c r="P124" s="38">
        <v>12.8</v>
      </c>
    </row>
    <row r="125" spans="1:16">
      <c r="A125" s="37" t="s">
        <v>173</v>
      </c>
      <c r="B125" s="37" t="s">
        <v>169</v>
      </c>
      <c r="C125" s="37" t="s">
        <v>170</v>
      </c>
      <c r="D125" s="37">
        <v>882</v>
      </c>
      <c r="E125" s="37">
        <v>1232</v>
      </c>
      <c r="F125" s="37">
        <v>1607</v>
      </c>
      <c r="G125" s="37">
        <v>1972</v>
      </c>
      <c r="H125" s="37">
        <v>2156</v>
      </c>
      <c r="I125" s="37">
        <v>2357</v>
      </c>
      <c r="J125" s="37">
        <v>2313</v>
      </c>
      <c r="K125" s="37">
        <v>2021</v>
      </c>
      <c r="L125" s="37">
        <v>1748</v>
      </c>
      <c r="M125" s="37">
        <v>1388</v>
      </c>
      <c r="N125" s="37">
        <v>1057</v>
      </c>
      <c r="O125" s="37">
        <v>877</v>
      </c>
      <c r="P125" s="38">
        <v>1634</v>
      </c>
    </row>
    <row r="126" spans="1:16">
      <c r="A126" s="39" t="s">
        <v>173</v>
      </c>
      <c r="B126" s="40" t="s">
        <v>171</v>
      </c>
      <c r="C126" s="40" t="s">
        <v>172</v>
      </c>
      <c r="D126" s="40" t="s">
        <v>30</v>
      </c>
      <c r="E126" s="40" t="s">
        <v>30</v>
      </c>
      <c r="F126" s="40" t="s">
        <v>30</v>
      </c>
      <c r="G126" s="40" t="s">
        <v>30</v>
      </c>
      <c r="H126" s="40" t="s">
        <v>30</v>
      </c>
      <c r="I126" s="40" t="s">
        <v>30</v>
      </c>
      <c r="J126" s="40" t="s">
        <v>30</v>
      </c>
      <c r="K126" s="40" t="s">
        <v>30</v>
      </c>
      <c r="L126" s="40" t="s">
        <v>30</v>
      </c>
      <c r="M126" s="40" t="s">
        <v>30</v>
      </c>
      <c r="N126" s="40" t="s">
        <v>30</v>
      </c>
      <c r="O126" s="40" t="s">
        <v>30</v>
      </c>
      <c r="P126" s="41">
        <v>12.95</v>
      </c>
    </row>
    <row r="127" spans="1:16">
      <c r="A127" s="34" t="s">
        <v>174</v>
      </c>
      <c r="B127" s="37" t="s">
        <v>164</v>
      </c>
      <c r="C127" s="37" t="s">
        <v>165</v>
      </c>
      <c r="D127" s="37">
        <v>40.299999999999997</v>
      </c>
      <c r="E127" s="37">
        <v>43.9</v>
      </c>
      <c r="F127" s="37">
        <v>49.9</v>
      </c>
      <c r="G127" s="37">
        <v>57.5</v>
      </c>
      <c r="H127" s="37">
        <v>66.3</v>
      </c>
      <c r="I127" s="37">
        <v>71.900000000000006</v>
      </c>
      <c r="J127" s="37">
        <v>73.8</v>
      </c>
      <c r="K127" s="37">
        <v>73.5</v>
      </c>
      <c r="L127" s="37">
        <v>68.2</v>
      </c>
      <c r="M127" s="37">
        <v>58.8</v>
      </c>
      <c r="N127" s="37">
        <v>48.3</v>
      </c>
      <c r="O127" s="37">
        <v>41</v>
      </c>
      <c r="P127" s="38">
        <v>57.8</v>
      </c>
    </row>
    <row r="128" spans="1:16">
      <c r="A128" s="37" t="s">
        <v>174</v>
      </c>
      <c r="B128" s="37" t="s">
        <v>166</v>
      </c>
      <c r="C128" s="37" t="s">
        <v>165</v>
      </c>
      <c r="D128" s="37">
        <v>61.6</v>
      </c>
      <c r="E128" s="37">
        <v>65.3</v>
      </c>
      <c r="F128" s="37">
        <v>71.599999999999994</v>
      </c>
      <c r="G128" s="37">
        <v>78.900000000000006</v>
      </c>
      <c r="H128" s="37">
        <v>85.9</v>
      </c>
      <c r="I128" s="37">
        <v>91.5</v>
      </c>
      <c r="J128" s="37">
        <v>94.4</v>
      </c>
      <c r="K128" s="37">
        <v>95.5</v>
      </c>
      <c r="L128" s="37">
        <v>89.8</v>
      </c>
      <c r="M128" s="37">
        <v>81.400000000000006</v>
      </c>
      <c r="N128" s="37">
        <v>70.5</v>
      </c>
      <c r="O128" s="37">
        <v>63.1</v>
      </c>
      <c r="P128" s="38">
        <v>79.099999999999994</v>
      </c>
    </row>
    <row r="129" spans="1:16">
      <c r="A129" s="37" t="s">
        <v>174</v>
      </c>
      <c r="B129" s="37" t="s">
        <v>167</v>
      </c>
      <c r="C129" s="37" t="s">
        <v>168</v>
      </c>
      <c r="D129" s="37">
        <v>8.3000000000000007</v>
      </c>
      <c r="E129" s="37">
        <v>8.6999999999999993</v>
      </c>
      <c r="F129" s="37">
        <v>9.1999999999999993</v>
      </c>
      <c r="G129" s="37">
        <v>8.9</v>
      </c>
      <c r="H129" s="37">
        <v>8.5</v>
      </c>
      <c r="I129" s="37">
        <v>8.1</v>
      </c>
      <c r="J129" s="37">
        <v>7.4</v>
      </c>
      <c r="K129" s="37">
        <v>6.5</v>
      </c>
      <c r="L129" s="37">
        <v>6.3</v>
      </c>
      <c r="M129" s="37">
        <v>6.9</v>
      </c>
      <c r="N129" s="37">
        <v>7.6</v>
      </c>
      <c r="O129" s="37">
        <v>7.8</v>
      </c>
      <c r="P129" s="38">
        <v>7.8</v>
      </c>
    </row>
    <row r="130" spans="1:16">
      <c r="A130" s="37" t="s">
        <v>174</v>
      </c>
      <c r="B130" s="37" t="s">
        <v>169</v>
      </c>
      <c r="C130" s="37" t="s">
        <v>170</v>
      </c>
      <c r="D130" s="37">
        <v>868</v>
      </c>
      <c r="E130" s="37">
        <v>1085</v>
      </c>
      <c r="F130" s="37">
        <v>1368</v>
      </c>
      <c r="G130" s="37">
        <v>1699</v>
      </c>
      <c r="H130" s="37">
        <v>1812</v>
      </c>
      <c r="I130" s="37">
        <v>2094</v>
      </c>
      <c r="J130" s="37">
        <v>2135</v>
      </c>
      <c r="K130" s="37">
        <v>2023</v>
      </c>
      <c r="L130" s="37">
        <v>1645</v>
      </c>
      <c r="M130" s="37">
        <v>1313</v>
      </c>
      <c r="N130" s="37">
        <v>956</v>
      </c>
      <c r="O130" s="37">
        <v>806</v>
      </c>
      <c r="P130" s="38">
        <v>1484</v>
      </c>
    </row>
    <row r="131" spans="1:16">
      <c r="A131" s="39" t="s">
        <v>174</v>
      </c>
      <c r="B131" s="40" t="s">
        <v>171</v>
      </c>
      <c r="C131" s="40" t="s">
        <v>172</v>
      </c>
      <c r="D131" s="40" t="s">
        <v>30</v>
      </c>
      <c r="E131" s="40" t="s">
        <v>30</v>
      </c>
      <c r="F131" s="40" t="s">
        <v>30</v>
      </c>
      <c r="G131" s="40" t="s">
        <v>30</v>
      </c>
      <c r="H131" s="40" t="s">
        <v>30</v>
      </c>
      <c r="I131" s="40" t="s">
        <v>30</v>
      </c>
      <c r="J131" s="40" t="s">
        <v>30</v>
      </c>
      <c r="K131" s="40" t="s">
        <v>30</v>
      </c>
      <c r="L131" s="40" t="s">
        <v>30</v>
      </c>
      <c r="M131" s="40" t="s">
        <v>30</v>
      </c>
      <c r="N131" s="40" t="s">
        <v>30</v>
      </c>
      <c r="O131" s="40" t="s">
        <v>30</v>
      </c>
      <c r="P131" s="41">
        <v>14.33</v>
      </c>
    </row>
    <row r="132" spans="1:16">
      <c r="A132" s="34" t="s">
        <v>175</v>
      </c>
      <c r="B132" s="37" t="s">
        <v>164</v>
      </c>
      <c r="C132" s="37" t="s">
        <v>165</v>
      </c>
      <c r="D132" s="37">
        <v>52.8</v>
      </c>
      <c r="E132" s="37">
        <v>56</v>
      </c>
      <c r="F132" s="37">
        <v>60.7</v>
      </c>
      <c r="G132" s="37">
        <v>66.599999999999994</v>
      </c>
      <c r="H132" s="37">
        <v>72.7</v>
      </c>
      <c r="I132" s="37">
        <v>76.400000000000006</v>
      </c>
      <c r="J132" s="37">
        <v>76.900000000000006</v>
      </c>
      <c r="K132" s="37">
        <v>76.8</v>
      </c>
      <c r="L132" s="37">
        <v>73.599999999999994</v>
      </c>
      <c r="M132" s="37">
        <v>67.599999999999994</v>
      </c>
      <c r="N132" s="37">
        <v>59.9</v>
      </c>
      <c r="O132" s="37">
        <v>53.5</v>
      </c>
      <c r="P132" s="38">
        <v>66.099999999999994</v>
      </c>
    </row>
    <row r="133" spans="1:16">
      <c r="A133" s="37" t="s">
        <v>175</v>
      </c>
      <c r="B133" s="37" t="s">
        <v>166</v>
      </c>
      <c r="C133" s="37" t="s">
        <v>165</v>
      </c>
      <c r="D133" s="37">
        <v>70.599999999999994</v>
      </c>
      <c r="E133" s="37">
        <v>73.7</v>
      </c>
      <c r="F133" s="37">
        <v>78.099999999999994</v>
      </c>
      <c r="G133" s="37">
        <v>82.8</v>
      </c>
      <c r="H133" s="37">
        <v>88</v>
      </c>
      <c r="I133" s="37">
        <v>91.6</v>
      </c>
      <c r="J133" s="37">
        <v>92.8</v>
      </c>
      <c r="K133" s="37">
        <v>93.5</v>
      </c>
      <c r="L133" s="37">
        <v>89.6</v>
      </c>
      <c r="M133" s="37">
        <v>84.7</v>
      </c>
      <c r="N133" s="37">
        <v>78</v>
      </c>
      <c r="O133" s="37">
        <v>71.599999999999994</v>
      </c>
      <c r="P133" s="38">
        <v>82.9</v>
      </c>
    </row>
    <row r="134" spans="1:16">
      <c r="A134" s="37" t="s">
        <v>175</v>
      </c>
      <c r="B134" s="37" t="s">
        <v>167</v>
      </c>
      <c r="C134" s="37" t="s">
        <v>168</v>
      </c>
      <c r="D134" s="37">
        <v>10.1</v>
      </c>
      <c r="E134" s="37">
        <v>11.2</v>
      </c>
      <c r="F134" s="37">
        <v>11.9</v>
      </c>
      <c r="G134" s="37">
        <v>12.5</v>
      </c>
      <c r="H134" s="37">
        <v>12.1</v>
      </c>
      <c r="I134" s="37">
        <v>11</v>
      </c>
      <c r="J134" s="37">
        <v>11</v>
      </c>
      <c r="K134" s="37">
        <v>9.1999999999999993</v>
      </c>
      <c r="L134" s="37">
        <v>7.4</v>
      </c>
      <c r="M134" s="37">
        <v>8.6999999999999993</v>
      </c>
      <c r="N134" s="37">
        <v>9.1999999999999993</v>
      </c>
      <c r="O134" s="37">
        <v>9.6</v>
      </c>
      <c r="P134" s="38">
        <v>10.3</v>
      </c>
    </row>
    <row r="135" spans="1:16">
      <c r="A135" s="37" t="s">
        <v>175</v>
      </c>
      <c r="B135" s="37" t="s">
        <v>169</v>
      </c>
      <c r="C135" s="37" t="s">
        <v>170</v>
      </c>
      <c r="D135" s="37">
        <v>899</v>
      </c>
      <c r="E135" s="37">
        <v>1152</v>
      </c>
      <c r="F135" s="37">
        <v>1425</v>
      </c>
      <c r="G135" s="37">
        <v>1673</v>
      </c>
      <c r="H135" s="37">
        <v>1913</v>
      </c>
      <c r="I135" s="37">
        <v>2051</v>
      </c>
      <c r="J135" s="37">
        <v>2061</v>
      </c>
      <c r="K135" s="37">
        <v>1951</v>
      </c>
      <c r="L135" s="37">
        <v>1616</v>
      </c>
      <c r="M135" s="37">
        <v>1386</v>
      </c>
      <c r="N135" s="37">
        <v>1040</v>
      </c>
      <c r="O135" s="37">
        <v>846</v>
      </c>
      <c r="P135" s="38">
        <v>1501</v>
      </c>
    </row>
    <row r="136" spans="1:16">
      <c r="A136" s="39" t="s">
        <v>175</v>
      </c>
      <c r="B136" s="40" t="s">
        <v>171</v>
      </c>
      <c r="C136" s="40" t="s">
        <v>172</v>
      </c>
      <c r="D136" s="40" t="s">
        <v>30</v>
      </c>
      <c r="E136" s="40" t="s">
        <v>30</v>
      </c>
      <c r="F136" s="40" t="s">
        <v>30</v>
      </c>
      <c r="G136" s="40" t="s">
        <v>30</v>
      </c>
      <c r="H136" s="40" t="s">
        <v>30</v>
      </c>
      <c r="I136" s="40" t="s">
        <v>30</v>
      </c>
      <c r="J136" s="40" t="s">
        <v>30</v>
      </c>
      <c r="K136" s="40" t="s">
        <v>30</v>
      </c>
      <c r="L136" s="40" t="s">
        <v>30</v>
      </c>
      <c r="M136" s="40" t="s">
        <v>30</v>
      </c>
      <c r="N136" s="40" t="s">
        <v>30</v>
      </c>
      <c r="O136" s="40" t="s">
        <v>30</v>
      </c>
      <c r="P136" s="41">
        <v>14.68</v>
      </c>
    </row>
    <row r="137" spans="1:16">
      <c r="A137" s="42" t="s">
        <v>176</v>
      </c>
      <c r="B137" s="37" t="s">
        <v>164</v>
      </c>
      <c r="C137" s="37" t="s">
        <v>165</v>
      </c>
      <c r="D137" s="37">
        <v>48.4</v>
      </c>
      <c r="E137" s="37">
        <v>51.9</v>
      </c>
      <c r="F137" s="37">
        <v>57.3</v>
      </c>
      <c r="G137" s="37">
        <v>63.9</v>
      </c>
      <c r="H137" s="37">
        <v>70.599999999999994</v>
      </c>
      <c r="I137" s="37">
        <v>74.5</v>
      </c>
      <c r="J137" s="37">
        <v>75.3</v>
      </c>
      <c r="K137" s="37">
        <v>75.5</v>
      </c>
      <c r="L137" s="37">
        <v>72.5</v>
      </c>
      <c r="M137" s="37">
        <v>65.3</v>
      </c>
      <c r="N137" s="37">
        <v>56.2</v>
      </c>
      <c r="O137" s="37">
        <v>49.6</v>
      </c>
      <c r="P137" s="38">
        <v>63.4</v>
      </c>
    </row>
    <row r="138" spans="1:16">
      <c r="A138" s="43" t="s">
        <v>176</v>
      </c>
      <c r="B138" s="37" t="s">
        <v>166</v>
      </c>
      <c r="C138" s="37" t="s">
        <v>165</v>
      </c>
      <c r="D138" s="37">
        <v>66.900000000000006</v>
      </c>
      <c r="E138" s="37">
        <v>70.599999999999994</v>
      </c>
      <c r="F138" s="37">
        <v>75.5</v>
      </c>
      <c r="G138" s="37">
        <v>81.099999999999994</v>
      </c>
      <c r="H138" s="37">
        <v>86.2</v>
      </c>
      <c r="I138" s="37">
        <v>90.4</v>
      </c>
      <c r="J138" s="37">
        <v>92.4</v>
      </c>
      <c r="K138" s="37">
        <v>93.8</v>
      </c>
      <c r="L138" s="37">
        <v>89.3</v>
      </c>
      <c r="M138" s="37">
        <v>83.7</v>
      </c>
      <c r="N138" s="37">
        <v>75.099999999999994</v>
      </c>
      <c r="O138" s="37">
        <v>68.5</v>
      </c>
      <c r="P138" s="38">
        <v>81.099999999999994</v>
      </c>
    </row>
    <row r="139" spans="1:16">
      <c r="A139" s="43" t="s">
        <v>176</v>
      </c>
      <c r="B139" s="37" t="s">
        <v>167</v>
      </c>
      <c r="C139" s="37" t="s">
        <v>168</v>
      </c>
      <c r="D139" s="37">
        <v>12.1</v>
      </c>
      <c r="E139" s="37">
        <v>12.5</v>
      </c>
      <c r="F139" s="37">
        <v>13.4</v>
      </c>
      <c r="G139" s="37">
        <v>14.1</v>
      </c>
      <c r="H139" s="37">
        <v>12.5</v>
      </c>
      <c r="I139" s="37">
        <v>10.5</v>
      </c>
      <c r="J139" s="37">
        <v>10.7</v>
      </c>
      <c r="K139" s="37">
        <v>9.8000000000000007</v>
      </c>
      <c r="L139" s="37">
        <v>9.1999999999999993</v>
      </c>
      <c r="M139" s="37">
        <v>10.7</v>
      </c>
      <c r="N139" s="37">
        <v>11.4</v>
      </c>
      <c r="O139" s="37">
        <v>11.6</v>
      </c>
      <c r="P139" s="38">
        <v>11.6</v>
      </c>
    </row>
    <row r="140" spans="1:16">
      <c r="A140" s="43" t="s">
        <v>176</v>
      </c>
      <c r="B140" s="37" t="s">
        <v>169</v>
      </c>
      <c r="C140" s="37" t="s">
        <v>170</v>
      </c>
      <c r="D140" s="37">
        <v>891</v>
      </c>
      <c r="E140" s="37">
        <v>1113</v>
      </c>
      <c r="F140" s="37">
        <v>1385</v>
      </c>
      <c r="G140" s="37">
        <v>1636</v>
      </c>
      <c r="H140" s="37">
        <v>1850</v>
      </c>
      <c r="I140" s="37">
        <v>2072</v>
      </c>
      <c r="J140" s="37">
        <v>2110</v>
      </c>
      <c r="K140" s="37">
        <v>1975</v>
      </c>
      <c r="L140" s="37">
        <v>1662</v>
      </c>
      <c r="M140" s="37">
        <v>1397</v>
      </c>
      <c r="N140" s="37">
        <v>1040</v>
      </c>
      <c r="O140" s="37">
        <v>838</v>
      </c>
      <c r="P140" s="38">
        <v>1497</v>
      </c>
    </row>
    <row r="141" spans="1:16">
      <c r="A141" s="44" t="s">
        <v>176</v>
      </c>
      <c r="B141" s="40" t="s">
        <v>171</v>
      </c>
      <c r="C141" s="40" t="s">
        <v>172</v>
      </c>
      <c r="D141" s="40" t="s">
        <v>30</v>
      </c>
      <c r="E141" s="40" t="s">
        <v>30</v>
      </c>
      <c r="F141" s="40" t="s">
        <v>30</v>
      </c>
      <c r="G141" s="40" t="s">
        <v>30</v>
      </c>
      <c r="H141" s="40" t="s">
        <v>30</v>
      </c>
      <c r="I141" s="40" t="s">
        <v>30</v>
      </c>
      <c r="J141" s="40" t="s">
        <v>30</v>
      </c>
      <c r="K141" s="40" t="s">
        <v>30</v>
      </c>
      <c r="L141" s="40" t="s">
        <v>30</v>
      </c>
      <c r="M141" s="40" t="s">
        <v>30</v>
      </c>
      <c r="N141" s="40" t="s">
        <v>30</v>
      </c>
      <c r="O141" s="40" t="s">
        <v>30</v>
      </c>
      <c r="P141" s="41">
        <v>14.68</v>
      </c>
    </row>
    <row r="142" spans="1:16">
      <c r="A142" s="34" t="s">
        <v>177</v>
      </c>
      <c r="B142" s="37" t="s">
        <v>164</v>
      </c>
      <c r="C142" s="37" t="s">
        <v>165</v>
      </c>
      <c r="D142" s="37">
        <v>34.6</v>
      </c>
      <c r="E142" s="37">
        <v>38.799999999999997</v>
      </c>
      <c r="F142" s="37">
        <v>44.3</v>
      </c>
      <c r="G142" s="37">
        <v>52.2</v>
      </c>
      <c r="H142" s="37">
        <v>62.3</v>
      </c>
      <c r="I142" s="37">
        <v>69.8</v>
      </c>
      <c r="J142" s="37">
        <v>72.2</v>
      </c>
      <c r="K142" s="37">
        <v>70.599999999999994</v>
      </c>
      <c r="L142" s="37">
        <v>64.5</v>
      </c>
      <c r="M142" s="37">
        <v>53.3</v>
      </c>
      <c r="N142" s="37">
        <v>40.799999999999997</v>
      </c>
      <c r="O142" s="37">
        <v>33.9</v>
      </c>
      <c r="P142" s="38">
        <v>53.1</v>
      </c>
    </row>
    <row r="143" spans="1:16">
      <c r="A143" s="37" t="s">
        <v>177</v>
      </c>
      <c r="B143" s="37" t="s">
        <v>166</v>
      </c>
      <c r="C143" s="37" t="s">
        <v>165</v>
      </c>
      <c r="D143" s="37">
        <v>58.2</v>
      </c>
      <c r="E143" s="37">
        <v>63.2</v>
      </c>
      <c r="F143" s="37">
        <v>70.3</v>
      </c>
      <c r="G143" s="37">
        <v>78.7</v>
      </c>
      <c r="H143" s="37">
        <v>88.2</v>
      </c>
      <c r="I143" s="37">
        <v>95.4</v>
      </c>
      <c r="J143" s="37">
        <v>94.4</v>
      </c>
      <c r="K143" s="37">
        <v>92.4</v>
      </c>
      <c r="L143" s="37">
        <v>87.4</v>
      </c>
      <c r="M143" s="37">
        <v>78.3</v>
      </c>
      <c r="N143" s="37">
        <v>66.099999999999994</v>
      </c>
      <c r="O143" s="37">
        <v>57.3</v>
      </c>
      <c r="P143" s="38">
        <v>77.5</v>
      </c>
    </row>
    <row r="144" spans="1:16">
      <c r="A144" s="37" t="s">
        <v>177</v>
      </c>
      <c r="B144" s="37" t="s">
        <v>167</v>
      </c>
      <c r="C144" s="37" t="s">
        <v>168</v>
      </c>
      <c r="D144" s="37">
        <v>7.8</v>
      </c>
      <c r="E144" s="37">
        <v>8.9</v>
      </c>
      <c r="F144" s="37">
        <v>10.1</v>
      </c>
      <c r="G144" s="37">
        <v>11</v>
      </c>
      <c r="H144" s="37">
        <v>10.1</v>
      </c>
      <c r="I144" s="37">
        <v>9.1999999999999993</v>
      </c>
      <c r="J144" s="37">
        <v>8.1</v>
      </c>
      <c r="K144" s="37">
        <v>7.4</v>
      </c>
      <c r="L144" s="37">
        <v>7.4</v>
      </c>
      <c r="M144" s="37">
        <v>7.6</v>
      </c>
      <c r="N144" s="37">
        <v>7.4</v>
      </c>
      <c r="O144" s="37">
        <v>7.4</v>
      </c>
      <c r="P144" s="38">
        <v>8.5</v>
      </c>
    </row>
    <row r="145" spans="1:16">
      <c r="A145" s="37" t="s">
        <v>177</v>
      </c>
      <c r="B145" s="37" t="s">
        <v>169</v>
      </c>
      <c r="C145" s="37" t="s">
        <v>170</v>
      </c>
      <c r="D145" s="37">
        <v>1125</v>
      </c>
      <c r="E145" s="37">
        <v>1406</v>
      </c>
      <c r="F145" s="37">
        <v>1856</v>
      </c>
      <c r="G145" s="37">
        <v>2259</v>
      </c>
      <c r="H145" s="37">
        <v>2494</v>
      </c>
      <c r="I145" s="37">
        <v>2537</v>
      </c>
      <c r="J145" s="37">
        <v>2276</v>
      </c>
      <c r="K145" s="37">
        <v>2106</v>
      </c>
      <c r="L145" s="37">
        <v>1895</v>
      </c>
      <c r="M145" s="37">
        <v>1574</v>
      </c>
      <c r="N145" s="37">
        <v>1244</v>
      </c>
      <c r="O145" s="37">
        <v>1048</v>
      </c>
      <c r="P145" s="38">
        <v>1818</v>
      </c>
    </row>
    <row r="146" spans="1:16">
      <c r="A146" s="39" t="s">
        <v>177</v>
      </c>
      <c r="B146" s="40" t="s">
        <v>171</v>
      </c>
      <c r="C146" s="40" t="s">
        <v>172</v>
      </c>
      <c r="D146" s="40" t="s">
        <v>30</v>
      </c>
      <c r="E146" s="40" t="s">
        <v>30</v>
      </c>
      <c r="F146" s="40" t="s">
        <v>30</v>
      </c>
      <c r="G146" s="40" t="s">
        <v>30</v>
      </c>
      <c r="H146" s="40" t="s">
        <v>30</v>
      </c>
      <c r="I146" s="40" t="s">
        <v>30</v>
      </c>
      <c r="J146" s="40" t="s">
        <v>30</v>
      </c>
      <c r="K146" s="40" t="s">
        <v>30</v>
      </c>
      <c r="L146" s="40" t="s">
        <v>30</v>
      </c>
      <c r="M146" s="40" t="s">
        <v>30</v>
      </c>
      <c r="N146" s="40" t="s">
        <v>30</v>
      </c>
      <c r="O146" s="40" t="s">
        <v>30</v>
      </c>
      <c r="P146" s="41">
        <v>12.76</v>
      </c>
    </row>
    <row r="147" spans="1:16">
      <c r="A147" s="34" t="s">
        <v>178</v>
      </c>
      <c r="B147" s="37" t="s">
        <v>164</v>
      </c>
      <c r="C147" s="37" t="s">
        <v>165</v>
      </c>
      <c r="D147" s="37">
        <v>37</v>
      </c>
      <c r="E147" s="37">
        <v>40.799999999999997</v>
      </c>
      <c r="F147" s="37">
        <v>47.8</v>
      </c>
      <c r="G147" s="37">
        <v>55.8</v>
      </c>
      <c r="H147" s="37">
        <v>65.400000000000006</v>
      </c>
      <c r="I147" s="37">
        <v>72.599999999999994</v>
      </c>
      <c r="J147" s="37">
        <v>76.3</v>
      </c>
      <c r="K147" s="37">
        <v>76.099999999999994</v>
      </c>
      <c r="L147" s="37">
        <v>68.599999999999994</v>
      </c>
      <c r="M147" s="37">
        <v>57.8</v>
      </c>
      <c r="N147" s="37">
        <v>47.1</v>
      </c>
      <c r="O147" s="37">
        <v>38.799999999999997</v>
      </c>
      <c r="P147" s="38">
        <v>57</v>
      </c>
    </row>
    <row r="148" spans="1:16">
      <c r="A148" s="37" t="s">
        <v>178</v>
      </c>
      <c r="B148" s="37" t="s">
        <v>166</v>
      </c>
      <c r="C148" s="37" t="s">
        <v>165</v>
      </c>
      <c r="D148" s="37">
        <v>56.2</v>
      </c>
      <c r="E148" s="37">
        <v>60.7</v>
      </c>
      <c r="F148" s="37">
        <v>67.8</v>
      </c>
      <c r="G148" s="37">
        <v>75.7</v>
      </c>
      <c r="H148" s="37">
        <v>83.4</v>
      </c>
      <c r="I148" s="37">
        <v>91</v>
      </c>
      <c r="J148" s="37">
        <v>95.3</v>
      </c>
      <c r="K148" s="37">
        <v>95.3</v>
      </c>
      <c r="L148" s="37">
        <v>87.8</v>
      </c>
      <c r="M148" s="37">
        <v>78</v>
      </c>
      <c r="N148" s="37">
        <v>66.2</v>
      </c>
      <c r="O148" s="37">
        <v>57.7</v>
      </c>
      <c r="P148" s="38">
        <v>76.3</v>
      </c>
    </row>
    <row r="149" spans="1:16">
      <c r="A149" s="37" t="s">
        <v>178</v>
      </c>
      <c r="B149" s="37" t="s">
        <v>167</v>
      </c>
      <c r="C149" s="37" t="s">
        <v>168</v>
      </c>
      <c r="D149" s="37">
        <v>10.5</v>
      </c>
      <c r="E149" s="37">
        <v>10.7</v>
      </c>
      <c r="F149" s="37">
        <v>11.9</v>
      </c>
      <c r="G149" s="37">
        <v>12.1</v>
      </c>
      <c r="H149" s="37">
        <v>11</v>
      </c>
      <c r="I149" s="37">
        <v>10.5</v>
      </c>
      <c r="J149" s="37">
        <v>9.8000000000000007</v>
      </c>
      <c r="K149" s="37">
        <v>8.5</v>
      </c>
      <c r="L149" s="37">
        <v>8.3000000000000007</v>
      </c>
      <c r="M149" s="37">
        <v>9.4</v>
      </c>
      <c r="N149" s="37">
        <v>10.3</v>
      </c>
      <c r="O149" s="37">
        <v>10.3</v>
      </c>
      <c r="P149" s="38">
        <v>10.3</v>
      </c>
    </row>
    <row r="150" spans="1:16">
      <c r="A150" s="37" t="s">
        <v>178</v>
      </c>
      <c r="B150" s="37" t="s">
        <v>169</v>
      </c>
      <c r="C150" s="37" t="s">
        <v>170</v>
      </c>
      <c r="D150" s="37">
        <v>837</v>
      </c>
      <c r="E150" s="37">
        <v>1089</v>
      </c>
      <c r="F150" s="37">
        <v>1388</v>
      </c>
      <c r="G150" s="37">
        <v>1744</v>
      </c>
      <c r="H150" s="37">
        <v>1860</v>
      </c>
      <c r="I150" s="37">
        <v>2087</v>
      </c>
      <c r="J150" s="37">
        <v>2171</v>
      </c>
      <c r="K150" s="37">
        <v>1981</v>
      </c>
      <c r="L150" s="37">
        <v>1623</v>
      </c>
      <c r="M150" s="37">
        <v>1263</v>
      </c>
      <c r="N150" s="37">
        <v>933</v>
      </c>
      <c r="O150" s="37">
        <v>795</v>
      </c>
      <c r="P150" s="38">
        <v>1481</v>
      </c>
    </row>
    <row r="151" spans="1:16">
      <c r="A151" s="39" t="s">
        <v>178</v>
      </c>
      <c r="B151" s="40" t="s">
        <v>171</v>
      </c>
      <c r="C151" s="40" t="s">
        <v>172</v>
      </c>
      <c r="D151" s="40" t="s">
        <v>30</v>
      </c>
      <c r="E151" s="40" t="s">
        <v>30</v>
      </c>
      <c r="F151" s="40" t="s">
        <v>30</v>
      </c>
      <c r="G151" s="40" t="s">
        <v>30</v>
      </c>
      <c r="H151" s="40" t="s">
        <v>30</v>
      </c>
      <c r="I151" s="40" t="s">
        <v>30</v>
      </c>
      <c r="J151" s="40" t="s">
        <v>30</v>
      </c>
      <c r="K151" s="40" t="s">
        <v>30</v>
      </c>
      <c r="L151" s="40" t="s">
        <v>30</v>
      </c>
      <c r="M151" s="40" t="s">
        <v>30</v>
      </c>
      <c r="N151" s="40" t="s">
        <v>30</v>
      </c>
      <c r="O151" s="40" t="s">
        <v>30</v>
      </c>
      <c r="P151" s="41">
        <v>14.4</v>
      </c>
    </row>
    <row r="152" spans="1:16">
      <c r="A152" s="34" t="s">
        <v>179</v>
      </c>
      <c r="B152" s="37" t="s">
        <v>164</v>
      </c>
      <c r="C152" s="37" t="s">
        <v>165</v>
      </c>
      <c r="D152" s="37">
        <v>43.8</v>
      </c>
      <c r="E152" s="37">
        <v>47</v>
      </c>
      <c r="F152" s="37">
        <v>52.7</v>
      </c>
      <c r="G152" s="37">
        <v>59.6</v>
      </c>
      <c r="H152" s="37">
        <v>67.900000000000006</v>
      </c>
      <c r="I152" s="37">
        <v>73.400000000000006</v>
      </c>
      <c r="J152" s="37">
        <v>75.099999999999994</v>
      </c>
      <c r="K152" s="37">
        <v>74.7</v>
      </c>
      <c r="L152" s="37">
        <v>69.900000000000006</v>
      </c>
      <c r="M152" s="37">
        <v>61</v>
      </c>
      <c r="N152" s="37">
        <v>51.2</v>
      </c>
      <c r="O152" s="37">
        <v>44.9</v>
      </c>
      <c r="P152" s="38">
        <v>60.1</v>
      </c>
    </row>
    <row r="153" spans="1:16">
      <c r="A153" s="37" t="s">
        <v>179</v>
      </c>
      <c r="B153" s="37" t="s">
        <v>166</v>
      </c>
      <c r="C153" s="37" t="s">
        <v>165</v>
      </c>
      <c r="D153" s="37">
        <v>62.6</v>
      </c>
      <c r="E153" s="37">
        <v>66.400000000000006</v>
      </c>
      <c r="F153" s="37">
        <v>72.3</v>
      </c>
      <c r="G153" s="37">
        <v>78.7</v>
      </c>
      <c r="H153" s="37">
        <v>85.9</v>
      </c>
      <c r="I153" s="37">
        <v>90.7</v>
      </c>
      <c r="J153" s="37">
        <v>93.1</v>
      </c>
      <c r="K153" s="37">
        <v>93.4</v>
      </c>
      <c r="L153" s="37">
        <v>88.9</v>
      </c>
      <c r="M153" s="37">
        <v>81.2</v>
      </c>
      <c r="N153" s="37">
        <v>71.2</v>
      </c>
      <c r="O153" s="37">
        <v>64.099999999999994</v>
      </c>
      <c r="P153" s="38">
        <v>79</v>
      </c>
    </row>
    <row r="154" spans="1:16">
      <c r="A154" s="37" t="s">
        <v>179</v>
      </c>
      <c r="B154" s="37" t="s">
        <v>167</v>
      </c>
      <c r="C154" s="37" t="s">
        <v>168</v>
      </c>
      <c r="D154" s="37">
        <v>7.8</v>
      </c>
      <c r="E154" s="37">
        <v>8.3000000000000007</v>
      </c>
      <c r="F154" s="37">
        <v>8.5</v>
      </c>
      <c r="G154" s="37">
        <v>8.9</v>
      </c>
      <c r="H154" s="37">
        <v>8.1</v>
      </c>
      <c r="I154" s="37">
        <v>6.7</v>
      </c>
      <c r="J154" s="37">
        <v>5.8</v>
      </c>
      <c r="K154" s="37">
        <v>5.6</v>
      </c>
      <c r="L154" s="37">
        <v>6</v>
      </c>
      <c r="M154" s="37">
        <v>6.7</v>
      </c>
      <c r="N154" s="37">
        <v>7.2</v>
      </c>
      <c r="O154" s="37">
        <v>7.6</v>
      </c>
      <c r="P154" s="38">
        <v>7.4</v>
      </c>
    </row>
    <row r="155" spans="1:16">
      <c r="A155" s="37" t="s">
        <v>179</v>
      </c>
      <c r="B155" s="37" t="s">
        <v>169</v>
      </c>
      <c r="C155" s="37" t="s">
        <v>170</v>
      </c>
      <c r="D155" s="37">
        <v>832</v>
      </c>
      <c r="E155" s="37">
        <v>1022</v>
      </c>
      <c r="F155" s="37">
        <v>1333</v>
      </c>
      <c r="G155" s="37">
        <v>1635</v>
      </c>
      <c r="H155" s="37">
        <v>1828</v>
      </c>
      <c r="I155" s="37">
        <v>1915</v>
      </c>
      <c r="J155" s="37">
        <v>1930</v>
      </c>
      <c r="K155" s="37">
        <v>1804</v>
      </c>
      <c r="L155" s="37">
        <v>1567</v>
      </c>
      <c r="M155" s="37">
        <v>1288</v>
      </c>
      <c r="N155" s="37">
        <v>930</v>
      </c>
      <c r="O155" s="37">
        <v>767</v>
      </c>
      <c r="P155" s="38">
        <v>1404</v>
      </c>
    </row>
    <row r="156" spans="1:16">
      <c r="A156" s="39" t="s">
        <v>179</v>
      </c>
      <c r="B156" s="40" t="s">
        <v>171</v>
      </c>
      <c r="C156" s="40" t="s">
        <v>172</v>
      </c>
      <c r="D156" s="40" t="s">
        <v>30</v>
      </c>
      <c r="E156" s="40" t="s">
        <v>30</v>
      </c>
      <c r="F156" s="40" t="s">
        <v>30</v>
      </c>
      <c r="G156" s="40" t="s">
        <v>30</v>
      </c>
      <c r="H156" s="40" t="s">
        <v>30</v>
      </c>
      <c r="I156" s="40" t="s">
        <v>30</v>
      </c>
      <c r="J156" s="40" t="s">
        <v>30</v>
      </c>
      <c r="K156" s="40" t="s">
        <v>30</v>
      </c>
      <c r="L156" s="40" t="s">
        <v>30</v>
      </c>
      <c r="M156" s="40" t="s">
        <v>30</v>
      </c>
      <c r="N156" s="40" t="s">
        <v>30</v>
      </c>
      <c r="O156" s="40" t="s">
        <v>30</v>
      </c>
      <c r="P156" s="41">
        <v>14.65</v>
      </c>
    </row>
    <row r="157" spans="1:16">
      <c r="A157" s="34" t="s">
        <v>180</v>
      </c>
      <c r="B157" s="37" t="s">
        <v>164</v>
      </c>
      <c r="C157" s="37" t="s">
        <v>165</v>
      </c>
      <c r="D157" s="37">
        <v>28</v>
      </c>
      <c r="E157" s="37">
        <v>31.6</v>
      </c>
      <c r="F157" s="37">
        <v>38.200000000000003</v>
      </c>
      <c r="G157" s="37">
        <v>46.8</v>
      </c>
      <c r="H157" s="37">
        <v>57.3</v>
      </c>
      <c r="I157" s="37">
        <v>65.400000000000006</v>
      </c>
      <c r="J157" s="37">
        <v>69</v>
      </c>
      <c r="K157" s="37">
        <v>67.5</v>
      </c>
      <c r="L157" s="37">
        <v>59.6</v>
      </c>
      <c r="M157" s="37">
        <v>48.6</v>
      </c>
      <c r="N157" s="37">
        <v>36.6</v>
      </c>
      <c r="O157" s="37">
        <v>28.5</v>
      </c>
      <c r="P157" s="38">
        <v>48.1</v>
      </c>
    </row>
    <row r="158" spans="1:16">
      <c r="A158" s="37" t="s">
        <v>180</v>
      </c>
      <c r="B158" s="37" t="s">
        <v>166</v>
      </c>
      <c r="C158" s="37" t="s">
        <v>165</v>
      </c>
      <c r="D158" s="37">
        <v>54</v>
      </c>
      <c r="E158" s="37">
        <v>58.8</v>
      </c>
      <c r="F158" s="37">
        <v>66.099999999999994</v>
      </c>
      <c r="G158" s="37">
        <v>74.7</v>
      </c>
      <c r="H158" s="37">
        <v>83.3</v>
      </c>
      <c r="I158" s="37">
        <v>90.3</v>
      </c>
      <c r="J158" s="37">
        <v>92.3</v>
      </c>
      <c r="K158" s="37">
        <v>90.6</v>
      </c>
      <c r="L158" s="37">
        <v>84</v>
      </c>
      <c r="M158" s="37">
        <v>74.8</v>
      </c>
      <c r="N158" s="37">
        <v>62.7</v>
      </c>
      <c r="O158" s="37">
        <v>54.6</v>
      </c>
      <c r="P158" s="38">
        <v>73.900000000000006</v>
      </c>
    </row>
    <row r="159" spans="1:16">
      <c r="A159" s="37" t="s">
        <v>180</v>
      </c>
      <c r="B159" s="37" t="s">
        <v>167</v>
      </c>
      <c r="C159" s="37" t="s">
        <v>168</v>
      </c>
      <c r="D159" s="37">
        <v>11.6</v>
      </c>
      <c r="E159" s="37">
        <v>12.3</v>
      </c>
      <c r="F159" s="37">
        <v>13.9</v>
      </c>
      <c r="G159" s="37">
        <v>14.3</v>
      </c>
      <c r="H159" s="37">
        <v>13.6</v>
      </c>
      <c r="I159" s="37">
        <v>13</v>
      </c>
      <c r="J159" s="37">
        <v>11</v>
      </c>
      <c r="K159" s="37">
        <v>9.8000000000000007</v>
      </c>
      <c r="L159" s="37">
        <v>10.1</v>
      </c>
      <c r="M159" s="37">
        <v>11</v>
      </c>
      <c r="N159" s="37">
        <v>11.4</v>
      </c>
      <c r="O159" s="37">
        <v>11.4</v>
      </c>
      <c r="P159" s="38">
        <v>11.9</v>
      </c>
    </row>
    <row r="160" spans="1:16">
      <c r="A160" s="37" t="s">
        <v>180</v>
      </c>
      <c r="B160" s="37" t="s">
        <v>169</v>
      </c>
      <c r="C160" s="37" t="s">
        <v>170</v>
      </c>
      <c r="D160" s="37">
        <v>968</v>
      </c>
      <c r="E160" s="37">
        <v>1252</v>
      </c>
      <c r="F160" s="37">
        <v>1627</v>
      </c>
      <c r="G160" s="37">
        <v>2008</v>
      </c>
      <c r="H160" s="37">
        <v>2166</v>
      </c>
      <c r="I160" s="37">
        <v>2352</v>
      </c>
      <c r="J160" s="37">
        <v>2283</v>
      </c>
      <c r="K160" s="37">
        <v>2060</v>
      </c>
      <c r="L160" s="37">
        <v>1728</v>
      </c>
      <c r="M160" s="37">
        <v>1406</v>
      </c>
      <c r="N160" s="37">
        <v>1081</v>
      </c>
      <c r="O160" s="37">
        <v>904</v>
      </c>
      <c r="P160" s="38">
        <v>1653</v>
      </c>
    </row>
    <row r="161" spans="1:16">
      <c r="A161" s="39" t="s">
        <v>180</v>
      </c>
      <c r="B161" s="40" t="s">
        <v>171</v>
      </c>
      <c r="C161" s="40" t="s">
        <v>172</v>
      </c>
      <c r="D161" s="40" t="s">
        <v>30</v>
      </c>
      <c r="E161" s="40" t="s">
        <v>30</v>
      </c>
      <c r="F161" s="40" t="s">
        <v>30</v>
      </c>
      <c r="G161" s="40" t="s">
        <v>30</v>
      </c>
      <c r="H161" s="40" t="s">
        <v>30</v>
      </c>
      <c r="I161" s="40" t="s">
        <v>30</v>
      </c>
      <c r="J161" s="40" t="s">
        <v>30</v>
      </c>
      <c r="K161" s="40" t="s">
        <v>30</v>
      </c>
      <c r="L161" s="40" t="s">
        <v>30</v>
      </c>
      <c r="M161" s="40" t="s">
        <v>30</v>
      </c>
      <c r="N161" s="40" t="s">
        <v>30</v>
      </c>
      <c r="O161" s="40" t="s">
        <v>30</v>
      </c>
      <c r="P161" s="41">
        <v>13.07</v>
      </c>
    </row>
    <row r="162" spans="1:16">
      <c r="A162" s="34" t="s">
        <v>181</v>
      </c>
      <c r="B162" s="37" t="s">
        <v>164</v>
      </c>
      <c r="C162" s="37" t="s">
        <v>165</v>
      </c>
      <c r="D162" s="37">
        <v>39.299999999999997</v>
      </c>
      <c r="E162" s="37">
        <v>42.4</v>
      </c>
      <c r="F162" s="37">
        <v>48.6</v>
      </c>
      <c r="G162" s="37">
        <v>55.6</v>
      </c>
      <c r="H162" s="37">
        <v>64.7</v>
      </c>
      <c r="I162" s="37">
        <v>70.7</v>
      </c>
      <c r="J162" s="37">
        <v>72.8</v>
      </c>
      <c r="K162" s="37">
        <v>72.099999999999994</v>
      </c>
      <c r="L162" s="37">
        <v>66.8</v>
      </c>
      <c r="M162" s="37">
        <v>56.5</v>
      </c>
      <c r="N162" s="37">
        <v>46.8</v>
      </c>
      <c r="O162" s="37">
        <v>40.299999999999997</v>
      </c>
      <c r="P162" s="38">
        <v>56.4</v>
      </c>
    </row>
    <row r="163" spans="1:16">
      <c r="A163" s="37" t="s">
        <v>181</v>
      </c>
      <c r="B163" s="37" t="s">
        <v>166</v>
      </c>
      <c r="C163" s="37" t="s">
        <v>165</v>
      </c>
      <c r="D163" s="37">
        <v>59.8</v>
      </c>
      <c r="E163" s="37">
        <v>64</v>
      </c>
      <c r="F163" s="37">
        <v>70.5</v>
      </c>
      <c r="G163" s="37">
        <v>77.5</v>
      </c>
      <c r="H163" s="37">
        <v>84.6</v>
      </c>
      <c r="I163" s="37">
        <v>90</v>
      </c>
      <c r="J163" s="37">
        <v>93.1</v>
      </c>
      <c r="K163" s="37">
        <v>93.6</v>
      </c>
      <c r="L163" s="37">
        <v>88.3</v>
      </c>
      <c r="M163" s="37">
        <v>79.5</v>
      </c>
      <c r="N163" s="37">
        <v>68.8</v>
      </c>
      <c r="O163" s="37">
        <v>61.1</v>
      </c>
      <c r="P163" s="38">
        <v>77.599999999999994</v>
      </c>
    </row>
    <row r="164" spans="1:16">
      <c r="A164" s="37" t="s">
        <v>181</v>
      </c>
      <c r="B164" s="37" t="s">
        <v>167</v>
      </c>
      <c r="C164" s="37" t="s">
        <v>168</v>
      </c>
      <c r="D164" s="37">
        <v>6.9</v>
      </c>
      <c r="E164" s="37">
        <v>7.4</v>
      </c>
      <c r="F164" s="37">
        <v>7.6</v>
      </c>
      <c r="G164" s="37">
        <v>7.6</v>
      </c>
      <c r="H164" s="37">
        <v>6.9</v>
      </c>
      <c r="I164" s="37">
        <v>5.8</v>
      </c>
      <c r="J164" s="37">
        <v>5.4</v>
      </c>
      <c r="K164" s="37">
        <v>4.9000000000000004</v>
      </c>
      <c r="L164" s="37">
        <v>5.4</v>
      </c>
      <c r="M164" s="37">
        <v>5.8</v>
      </c>
      <c r="N164" s="37">
        <v>6.3</v>
      </c>
      <c r="O164" s="37">
        <v>6.5</v>
      </c>
      <c r="P164" s="38">
        <v>6.5</v>
      </c>
    </row>
    <row r="165" spans="1:16">
      <c r="A165" s="37" t="s">
        <v>181</v>
      </c>
      <c r="B165" s="37" t="s">
        <v>169</v>
      </c>
      <c r="C165" s="37" t="s">
        <v>170</v>
      </c>
      <c r="D165" s="37">
        <v>796</v>
      </c>
      <c r="E165" s="37">
        <v>1027</v>
      </c>
      <c r="F165" s="37">
        <v>1342</v>
      </c>
      <c r="G165" s="37">
        <v>1686</v>
      </c>
      <c r="H165" s="37">
        <v>1856</v>
      </c>
      <c r="I165" s="37">
        <v>1988</v>
      </c>
      <c r="J165" s="37">
        <v>2043</v>
      </c>
      <c r="K165" s="37">
        <v>1915</v>
      </c>
      <c r="L165" s="37">
        <v>1590</v>
      </c>
      <c r="M165" s="37">
        <v>1275</v>
      </c>
      <c r="N165" s="37">
        <v>913</v>
      </c>
      <c r="O165" s="37">
        <v>747</v>
      </c>
      <c r="P165" s="38">
        <v>1432</v>
      </c>
    </row>
    <row r="166" spans="1:16">
      <c r="A166" s="39" t="s">
        <v>181</v>
      </c>
      <c r="B166" s="40" t="s">
        <v>171</v>
      </c>
      <c r="C166" s="40" t="s">
        <v>172</v>
      </c>
      <c r="D166" s="40" t="s">
        <v>30</v>
      </c>
      <c r="E166" s="40" t="s">
        <v>30</v>
      </c>
      <c r="F166" s="40" t="s">
        <v>30</v>
      </c>
      <c r="G166" s="40" t="s">
        <v>30</v>
      </c>
      <c r="H166" s="40" t="s">
        <v>30</v>
      </c>
      <c r="I166" s="40" t="s">
        <v>30</v>
      </c>
      <c r="J166" s="40" t="s">
        <v>30</v>
      </c>
      <c r="K166" s="40" t="s">
        <v>30</v>
      </c>
      <c r="L166" s="40" t="s">
        <v>30</v>
      </c>
      <c r="M166" s="40" t="s">
        <v>30</v>
      </c>
      <c r="N166" s="40" t="s">
        <v>30</v>
      </c>
      <c r="O166" s="40" t="s">
        <v>30</v>
      </c>
      <c r="P166" s="41">
        <v>14.55</v>
      </c>
    </row>
    <row r="167" spans="1:16">
      <c r="A167" s="42" t="s">
        <v>182</v>
      </c>
      <c r="B167" s="37" t="s">
        <v>164</v>
      </c>
      <c r="C167" s="37" t="s">
        <v>165</v>
      </c>
      <c r="D167" s="37">
        <v>31.8</v>
      </c>
      <c r="E167" s="37">
        <v>35.9</v>
      </c>
      <c r="F167" s="37">
        <v>42.1</v>
      </c>
      <c r="G167" s="37">
        <v>50.1</v>
      </c>
      <c r="H167" s="37">
        <v>60.9</v>
      </c>
      <c r="I167" s="37">
        <v>68.5</v>
      </c>
      <c r="J167" s="37">
        <v>71</v>
      </c>
      <c r="K167" s="37">
        <v>69.7</v>
      </c>
      <c r="L167" s="37">
        <v>62.7</v>
      </c>
      <c r="M167" s="37">
        <v>52.4</v>
      </c>
      <c r="N167" s="37">
        <v>39.799999999999997</v>
      </c>
      <c r="O167" s="37">
        <v>32.1</v>
      </c>
      <c r="P167" s="38">
        <v>51.4</v>
      </c>
    </row>
    <row r="168" spans="1:16">
      <c r="A168" s="43" t="s">
        <v>182</v>
      </c>
      <c r="B168" s="37" t="s">
        <v>166</v>
      </c>
      <c r="C168" s="37" t="s">
        <v>165</v>
      </c>
      <c r="D168" s="37">
        <v>57.4</v>
      </c>
      <c r="E168" s="37">
        <v>62.2</v>
      </c>
      <c r="F168" s="37">
        <v>69.400000000000006</v>
      </c>
      <c r="G168" s="37">
        <v>78.400000000000006</v>
      </c>
      <c r="H168" s="37">
        <v>87.1</v>
      </c>
      <c r="I168" s="37">
        <v>93</v>
      </c>
      <c r="J168" s="37">
        <v>93.8</v>
      </c>
      <c r="K168" s="37">
        <v>92.4</v>
      </c>
      <c r="L168" s="37">
        <v>86</v>
      </c>
      <c r="M168" s="37">
        <v>77.5</v>
      </c>
      <c r="N168" s="37">
        <v>65.599999999999994</v>
      </c>
      <c r="O168" s="37">
        <v>58.1</v>
      </c>
      <c r="P168" s="38">
        <v>76.7</v>
      </c>
    </row>
    <row r="169" spans="1:16">
      <c r="A169" s="43" t="s">
        <v>182</v>
      </c>
      <c r="B169" s="37" t="s">
        <v>167</v>
      </c>
      <c r="C169" s="37" t="s">
        <v>168</v>
      </c>
      <c r="D169" s="37">
        <v>10.1</v>
      </c>
      <c r="E169" s="37">
        <v>11</v>
      </c>
      <c r="F169" s="37">
        <v>12.1</v>
      </c>
      <c r="G169" s="37">
        <v>12.8</v>
      </c>
      <c r="H169" s="37">
        <v>12.3</v>
      </c>
      <c r="I169" s="37">
        <v>12.3</v>
      </c>
      <c r="J169" s="37">
        <v>10.7</v>
      </c>
      <c r="K169" s="37">
        <v>9.6</v>
      </c>
      <c r="L169" s="37">
        <v>9.6</v>
      </c>
      <c r="M169" s="37">
        <v>10.3</v>
      </c>
      <c r="N169" s="37">
        <v>9.8000000000000007</v>
      </c>
      <c r="O169" s="37">
        <v>9.8000000000000007</v>
      </c>
      <c r="P169" s="38">
        <v>11</v>
      </c>
    </row>
    <row r="170" spans="1:16">
      <c r="A170" s="43" t="s">
        <v>182</v>
      </c>
      <c r="B170" s="37" t="s">
        <v>169</v>
      </c>
      <c r="C170" s="37" t="s">
        <v>170</v>
      </c>
      <c r="D170" s="37">
        <v>1015</v>
      </c>
      <c r="E170" s="37">
        <v>1294</v>
      </c>
      <c r="F170" s="37">
        <v>1695</v>
      </c>
      <c r="G170" s="37">
        <v>2089</v>
      </c>
      <c r="H170" s="37">
        <v>2226</v>
      </c>
      <c r="I170" s="37">
        <v>2365</v>
      </c>
      <c r="J170" s="37">
        <v>2272</v>
      </c>
      <c r="K170" s="37">
        <v>2073</v>
      </c>
      <c r="L170" s="37">
        <v>1776</v>
      </c>
      <c r="M170" s="37">
        <v>1458</v>
      </c>
      <c r="N170" s="37">
        <v>1140</v>
      </c>
      <c r="O170" s="37">
        <v>973</v>
      </c>
      <c r="P170" s="38">
        <v>1698</v>
      </c>
    </row>
    <row r="171" spans="1:16">
      <c r="A171" s="44" t="s">
        <v>182</v>
      </c>
      <c r="B171" s="40" t="s">
        <v>171</v>
      </c>
      <c r="C171" s="40" t="s">
        <v>172</v>
      </c>
      <c r="D171" s="40" t="s">
        <v>30</v>
      </c>
      <c r="E171" s="40" t="s">
        <v>30</v>
      </c>
      <c r="F171" s="40" t="s">
        <v>30</v>
      </c>
      <c r="G171" s="40" t="s">
        <v>30</v>
      </c>
      <c r="H171" s="40" t="s">
        <v>30</v>
      </c>
      <c r="I171" s="40" t="s">
        <v>30</v>
      </c>
      <c r="J171" s="40" t="s">
        <v>30</v>
      </c>
      <c r="K171" s="40" t="s">
        <v>30</v>
      </c>
      <c r="L171" s="40" t="s">
        <v>30</v>
      </c>
      <c r="M171" s="40" t="s">
        <v>30</v>
      </c>
      <c r="N171" s="40" t="s">
        <v>30</v>
      </c>
      <c r="O171" s="40" t="s">
        <v>30</v>
      </c>
      <c r="P171" s="41">
        <v>13.26</v>
      </c>
    </row>
    <row r="172" spans="1:16">
      <c r="A172" s="34" t="s">
        <v>183</v>
      </c>
      <c r="B172" s="37" t="s">
        <v>164</v>
      </c>
      <c r="C172" s="37" t="s">
        <v>165</v>
      </c>
      <c r="D172" s="37">
        <v>44.6</v>
      </c>
      <c r="E172" s="37">
        <v>47.7</v>
      </c>
      <c r="F172" s="37">
        <v>53.2</v>
      </c>
      <c r="G172" s="37">
        <v>60.1</v>
      </c>
      <c r="H172" s="37">
        <v>68</v>
      </c>
      <c r="I172" s="37">
        <v>73.5</v>
      </c>
      <c r="J172" s="37">
        <v>75</v>
      </c>
      <c r="K172" s="37">
        <v>74.7</v>
      </c>
      <c r="L172" s="37">
        <v>70.599999999999994</v>
      </c>
      <c r="M172" s="37">
        <v>61.5</v>
      </c>
      <c r="N172" s="37">
        <v>51.7</v>
      </c>
      <c r="O172" s="37">
        <v>45.7</v>
      </c>
      <c r="P172" s="38">
        <v>60.5</v>
      </c>
    </row>
    <row r="173" spans="1:16">
      <c r="A173" s="37" t="s">
        <v>183</v>
      </c>
      <c r="B173" s="37" t="s">
        <v>166</v>
      </c>
      <c r="C173" s="37" t="s">
        <v>165</v>
      </c>
      <c r="D173" s="37">
        <v>61.9</v>
      </c>
      <c r="E173" s="37">
        <v>65.3</v>
      </c>
      <c r="F173" s="37">
        <v>71.2</v>
      </c>
      <c r="G173" s="37">
        <v>77.3</v>
      </c>
      <c r="H173" s="37">
        <v>84.3</v>
      </c>
      <c r="I173" s="37">
        <v>89.1</v>
      </c>
      <c r="J173" s="37">
        <v>91</v>
      </c>
      <c r="K173" s="37">
        <v>91.5</v>
      </c>
      <c r="L173" s="37">
        <v>87.8</v>
      </c>
      <c r="M173" s="37">
        <v>80.2</v>
      </c>
      <c r="N173" s="37">
        <v>70.5</v>
      </c>
      <c r="O173" s="37">
        <v>63.4</v>
      </c>
      <c r="P173" s="38">
        <v>77.8</v>
      </c>
    </row>
    <row r="174" spans="1:16">
      <c r="A174" s="37" t="s">
        <v>183</v>
      </c>
      <c r="B174" s="37" t="s">
        <v>167</v>
      </c>
      <c r="C174" s="37" t="s">
        <v>168</v>
      </c>
      <c r="D174" s="37">
        <v>9.6</v>
      </c>
      <c r="E174" s="37">
        <v>10.1</v>
      </c>
      <c r="F174" s="37">
        <v>10.3</v>
      </c>
      <c r="G174" s="37">
        <v>10.3</v>
      </c>
      <c r="H174" s="37">
        <v>9.1999999999999993</v>
      </c>
      <c r="I174" s="37">
        <v>7.6</v>
      </c>
      <c r="J174" s="37">
        <v>6</v>
      </c>
      <c r="K174" s="37">
        <v>5.8</v>
      </c>
      <c r="L174" s="37">
        <v>7.2</v>
      </c>
      <c r="M174" s="37">
        <v>8.1</v>
      </c>
      <c r="N174" s="37">
        <v>8.5</v>
      </c>
      <c r="O174" s="37">
        <v>9.1999999999999993</v>
      </c>
      <c r="P174" s="38">
        <v>8.5</v>
      </c>
    </row>
    <row r="175" spans="1:16">
      <c r="A175" s="37" t="s">
        <v>183</v>
      </c>
      <c r="B175" s="37" t="s">
        <v>169</v>
      </c>
      <c r="C175" s="37" t="s">
        <v>170</v>
      </c>
      <c r="D175" s="37">
        <v>824</v>
      </c>
      <c r="E175" s="37">
        <v>1017</v>
      </c>
      <c r="F175" s="37">
        <v>1355</v>
      </c>
      <c r="G175" s="37">
        <v>1646</v>
      </c>
      <c r="H175" s="37">
        <v>1868</v>
      </c>
      <c r="I175" s="37">
        <v>1931</v>
      </c>
      <c r="J175" s="37">
        <v>1918</v>
      </c>
      <c r="K175" s="37">
        <v>1801</v>
      </c>
      <c r="L175" s="37">
        <v>1552</v>
      </c>
      <c r="M175" s="37">
        <v>1300</v>
      </c>
      <c r="N175" s="37">
        <v>955</v>
      </c>
      <c r="O175" s="37">
        <v>773</v>
      </c>
      <c r="P175" s="38">
        <v>1412</v>
      </c>
    </row>
    <row r="176" spans="1:16">
      <c r="A176" s="39" t="s">
        <v>183</v>
      </c>
      <c r="B176" s="40" t="s">
        <v>171</v>
      </c>
      <c r="C176" s="40" t="s">
        <v>172</v>
      </c>
      <c r="D176" s="40" t="s">
        <v>30</v>
      </c>
      <c r="E176" s="40" t="s">
        <v>30</v>
      </c>
      <c r="F176" s="40" t="s">
        <v>30</v>
      </c>
      <c r="G176" s="40" t="s">
        <v>30</v>
      </c>
      <c r="H176" s="40" t="s">
        <v>30</v>
      </c>
      <c r="I176" s="40" t="s">
        <v>30</v>
      </c>
      <c r="J176" s="40" t="s">
        <v>30</v>
      </c>
      <c r="K176" s="40" t="s">
        <v>30</v>
      </c>
      <c r="L176" s="40" t="s">
        <v>30</v>
      </c>
      <c r="M176" s="40" t="s">
        <v>30</v>
      </c>
      <c r="N176" s="40" t="s">
        <v>30</v>
      </c>
      <c r="O176" s="40" t="s">
        <v>30</v>
      </c>
      <c r="P176" s="41">
        <v>14.68</v>
      </c>
    </row>
    <row r="177" spans="1:16">
      <c r="A177" s="34" t="s">
        <v>184</v>
      </c>
      <c r="B177" s="37" t="s">
        <v>164</v>
      </c>
      <c r="C177" s="37" t="s">
        <v>165</v>
      </c>
      <c r="D177" s="37">
        <v>34.4</v>
      </c>
      <c r="E177" s="37">
        <v>38</v>
      </c>
      <c r="F177" s="37">
        <v>45.2</v>
      </c>
      <c r="G177" s="37">
        <v>52.8</v>
      </c>
      <c r="H177" s="37">
        <v>62.8</v>
      </c>
      <c r="I177" s="37">
        <v>69.599999999999994</v>
      </c>
      <c r="J177" s="37">
        <v>72.099999999999994</v>
      </c>
      <c r="K177" s="37">
        <v>71.3</v>
      </c>
      <c r="L177" s="37">
        <v>64</v>
      </c>
      <c r="M177" s="37">
        <v>53.8</v>
      </c>
      <c r="N177" s="37">
        <v>42.7</v>
      </c>
      <c r="O177" s="37">
        <v>35.1</v>
      </c>
      <c r="P177" s="38">
        <v>53.5</v>
      </c>
    </row>
    <row r="178" spans="1:16">
      <c r="A178" s="37" t="s">
        <v>184</v>
      </c>
      <c r="B178" s="37" t="s">
        <v>166</v>
      </c>
      <c r="C178" s="37" t="s">
        <v>165</v>
      </c>
      <c r="D178" s="37">
        <v>59.5</v>
      </c>
      <c r="E178" s="37">
        <v>63.7</v>
      </c>
      <c r="F178" s="37">
        <v>70.7</v>
      </c>
      <c r="G178" s="37">
        <v>79.5</v>
      </c>
      <c r="H178" s="37">
        <v>87.4</v>
      </c>
      <c r="I178" s="37">
        <v>92.4</v>
      </c>
      <c r="J178" s="37">
        <v>95.1</v>
      </c>
      <c r="K178" s="37">
        <v>94</v>
      </c>
      <c r="L178" s="37">
        <v>87.4</v>
      </c>
      <c r="M178" s="37">
        <v>78.599999999999994</v>
      </c>
      <c r="N178" s="37">
        <v>67.400000000000006</v>
      </c>
      <c r="O178" s="37">
        <v>60.5</v>
      </c>
      <c r="P178" s="38">
        <v>78</v>
      </c>
    </row>
    <row r="179" spans="1:16">
      <c r="A179" s="37" t="s">
        <v>184</v>
      </c>
      <c r="B179" s="37" t="s">
        <v>167</v>
      </c>
      <c r="C179" s="37" t="s">
        <v>168</v>
      </c>
      <c r="D179" s="37">
        <v>9.6</v>
      </c>
      <c r="E179" s="37">
        <v>10.1</v>
      </c>
      <c r="F179" s="37">
        <v>10.7</v>
      </c>
      <c r="G179" s="37">
        <v>11.4</v>
      </c>
      <c r="H179" s="37">
        <v>10.5</v>
      </c>
      <c r="I179" s="37">
        <v>10.1</v>
      </c>
      <c r="J179" s="37">
        <v>9.1999999999999993</v>
      </c>
      <c r="K179" s="37">
        <v>8.1</v>
      </c>
      <c r="L179" s="37">
        <v>7.8</v>
      </c>
      <c r="M179" s="37">
        <v>8.5</v>
      </c>
      <c r="N179" s="37">
        <v>9.1999999999999993</v>
      </c>
      <c r="O179" s="37">
        <v>9.4</v>
      </c>
      <c r="P179" s="38">
        <v>9.6</v>
      </c>
    </row>
    <row r="180" spans="1:16">
      <c r="A180" s="37" t="s">
        <v>184</v>
      </c>
      <c r="B180" s="37" t="s">
        <v>169</v>
      </c>
      <c r="C180" s="37" t="s">
        <v>170</v>
      </c>
      <c r="D180" s="37">
        <v>968</v>
      </c>
      <c r="E180" s="37">
        <v>1229</v>
      </c>
      <c r="F180" s="37">
        <v>1591</v>
      </c>
      <c r="G180" s="37">
        <v>1961</v>
      </c>
      <c r="H180" s="37">
        <v>2072</v>
      </c>
      <c r="I180" s="37">
        <v>2236</v>
      </c>
      <c r="J180" s="37">
        <v>2220</v>
      </c>
      <c r="K180" s="37">
        <v>2021</v>
      </c>
      <c r="L180" s="37">
        <v>1711</v>
      </c>
      <c r="M180" s="37">
        <v>1382</v>
      </c>
      <c r="N180" s="37">
        <v>1090</v>
      </c>
      <c r="O180" s="37">
        <v>921</v>
      </c>
      <c r="P180" s="38">
        <v>1617</v>
      </c>
    </row>
    <row r="181" spans="1:16">
      <c r="A181" s="39" t="s">
        <v>184</v>
      </c>
      <c r="B181" s="40" t="s">
        <v>171</v>
      </c>
      <c r="C181" s="40" t="s">
        <v>172</v>
      </c>
      <c r="D181" s="40" t="s">
        <v>30</v>
      </c>
      <c r="E181" s="40" t="s">
        <v>30</v>
      </c>
      <c r="F181" s="40" t="s">
        <v>30</v>
      </c>
      <c r="G181" s="40" t="s">
        <v>30</v>
      </c>
      <c r="H181" s="40" t="s">
        <v>30</v>
      </c>
      <c r="I181" s="40" t="s">
        <v>30</v>
      </c>
      <c r="J181" s="40" t="s">
        <v>30</v>
      </c>
      <c r="K181" s="40" t="s">
        <v>30</v>
      </c>
      <c r="L181" s="40" t="s">
        <v>30</v>
      </c>
      <c r="M181" s="40" t="s">
        <v>30</v>
      </c>
      <c r="N181" s="40" t="s">
        <v>30</v>
      </c>
      <c r="O181" s="40" t="s">
        <v>30</v>
      </c>
      <c r="P181" s="41">
        <v>13.71</v>
      </c>
    </row>
    <row r="182" spans="1:16">
      <c r="A182" s="34" t="s">
        <v>185</v>
      </c>
      <c r="B182" s="37" t="s">
        <v>164</v>
      </c>
      <c r="C182" s="37" t="s">
        <v>165</v>
      </c>
      <c r="D182" s="37">
        <v>42</v>
      </c>
      <c r="E182" s="37">
        <v>45.8</v>
      </c>
      <c r="F182" s="37">
        <v>51.8</v>
      </c>
      <c r="G182" s="37">
        <v>59.1</v>
      </c>
      <c r="H182" s="37">
        <v>67.599999999999994</v>
      </c>
      <c r="I182" s="37">
        <v>73.2</v>
      </c>
      <c r="J182" s="37">
        <v>75.2</v>
      </c>
      <c r="K182" s="37">
        <v>75.3</v>
      </c>
      <c r="L182" s="37">
        <v>69.8</v>
      </c>
      <c r="M182" s="37">
        <v>60.8</v>
      </c>
      <c r="N182" s="37">
        <v>50.5</v>
      </c>
      <c r="O182" s="37">
        <v>43.1</v>
      </c>
      <c r="P182" s="38">
        <v>59.5</v>
      </c>
    </row>
    <row r="183" spans="1:16">
      <c r="A183" s="37" t="s">
        <v>185</v>
      </c>
      <c r="B183" s="37" t="s">
        <v>166</v>
      </c>
      <c r="C183" s="37" t="s">
        <v>165</v>
      </c>
      <c r="D183" s="37">
        <v>62.9</v>
      </c>
      <c r="E183" s="37">
        <v>67.2</v>
      </c>
      <c r="F183" s="37">
        <v>73.099999999999994</v>
      </c>
      <c r="G183" s="37">
        <v>79.900000000000006</v>
      </c>
      <c r="H183" s="37">
        <v>86.6</v>
      </c>
      <c r="I183" s="37">
        <v>91.9</v>
      </c>
      <c r="J183" s="37">
        <v>94</v>
      </c>
      <c r="K183" s="37">
        <v>95</v>
      </c>
      <c r="L183" s="37">
        <v>89.5</v>
      </c>
      <c r="M183" s="37">
        <v>81.599999999999994</v>
      </c>
      <c r="N183" s="37">
        <v>71.3</v>
      </c>
      <c r="O183" s="37">
        <v>64.3</v>
      </c>
      <c r="P183" s="38">
        <v>79.8</v>
      </c>
    </row>
    <row r="184" spans="1:16">
      <c r="A184" s="37" t="s">
        <v>185</v>
      </c>
      <c r="B184" s="37" t="s">
        <v>167</v>
      </c>
      <c r="C184" s="37" t="s">
        <v>168</v>
      </c>
      <c r="D184" s="37">
        <v>7.6</v>
      </c>
      <c r="E184" s="37">
        <v>7.8</v>
      </c>
      <c r="F184" s="37">
        <v>8.9</v>
      </c>
      <c r="G184" s="37">
        <v>9.4</v>
      </c>
      <c r="H184" s="37">
        <v>9.4</v>
      </c>
      <c r="I184" s="37">
        <v>9.1999999999999993</v>
      </c>
      <c r="J184" s="37">
        <v>8.5</v>
      </c>
      <c r="K184" s="37">
        <v>7.8</v>
      </c>
      <c r="L184" s="37">
        <v>6.9</v>
      </c>
      <c r="M184" s="37">
        <v>7.4</v>
      </c>
      <c r="N184" s="37">
        <v>7.6</v>
      </c>
      <c r="O184" s="37">
        <v>7.4</v>
      </c>
      <c r="P184" s="38">
        <v>8.1</v>
      </c>
    </row>
    <row r="185" spans="1:16">
      <c r="A185" s="37" t="s">
        <v>185</v>
      </c>
      <c r="B185" s="37" t="s">
        <v>169</v>
      </c>
      <c r="C185" s="37" t="s">
        <v>170</v>
      </c>
      <c r="D185" s="37">
        <v>893</v>
      </c>
      <c r="E185" s="37">
        <v>1083</v>
      </c>
      <c r="F185" s="37">
        <v>1377</v>
      </c>
      <c r="G185" s="37">
        <v>1682</v>
      </c>
      <c r="H185" s="37">
        <v>1821</v>
      </c>
      <c r="I185" s="37">
        <v>2059</v>
      </c>
      <c r="J185" s="37">
        <v>2081</v>
      </c>
      <c r="K185" s="37">
        <v>1961</v>
      </c>
      <c r="L185" s="37">
        <v>1640</v>
      </c>
      <c r="M185" s="37">
        <v>1323</v>
      </c>
      <c r="N185" s="37">
        <v>985</v>
      </c>
      <c r="O185" s="37">
        <v>825</v>
      </c>
      <c r="P185" s="38">
        <v>1477</v>
      </c>
    </row>
    <row r="186" spans="1:16" ht="15.75" thickBot="1">
      <c r="A186" s="39" t="s">
        <v>185</v>
      </c>
      <c r="B186" s="37" t="s">
        <v>171</v>
      </c>
      <c r="C186" s="40" t="s">
        <v>172</v>
      </c>
      <c r="D186" s="40" t="s">
        <v>30</v>
      </c>
      <c r="E186" s="40" t="s">
        <v>30</v>
      </c>
      <c r="F186" s="40" t="s">
        <v>30</v>
      </c>
      <c r="G186" s="40" t="s">
        <v>30</v>
      </c>
      <c r="H186" s="40" t="s">
        <v>30</v>
      </c>
      <c r="I186" s="40" t="s">
        <v>30</v>
      </c>
      <c r="J186" s="40" t="s">
        <v>30</v>
      </c>
      <c r="K186" s="40" t="s">
        <v>30</v>
      </c>
      <c r="L186" s="40" t="s">
        <v>30</v>
      </c>
      <c r="M186" s="40" t="s">
        <v>30</v>
      </c>
      <c r="N186" s="40" t="s">
        <v>30</v>
      </c>
      <c r="O186" s="40" t="s">
        <v>30</v>
      </c>
      <c r="P186" s="41">
        <v>14.27</v>
      </c>
    </row>
    <row r="187" spans="1:16">
      <c r="A187" s="34" t="s">
        <v>186</v>
      </c>
      <c r="B187" s="35" t="s">
        <v>164</v>
      </c>
      <c r="C187" s="37" t="s">
        <v>165</v>
      </c>
      <c r="D187" s="37">
        <v>38.200000000000003</v>
      </c>
      <c r="E187" s="37">
        <v>41.3</v>
      </c>
      <c r="F187" s="37">
        <v>47.8</v>
      </c>
      <c r="G187" s="37">
        <v>54.9</v>
      </c>
      <c r="H187" s="37">
        <v>64.3</v>
      </c>
      <c r="I187" s="37">
        <v>70.900000000000006</v>
      </c>
      <c r="J187" s="37">
        <v>74</v>
      </c>
      <c r="K187" s="37">
        <v>73.400000000000006</v>
      </c>
      <c r="L187" s="37">
        <v>67.2</v>
      </c>
      <c r="M187" s="37">
        <v>56.1</v>
      </c>
      <c r="N187" s="37">
        <v>46</v>
      </c>
      <c r="O187" s="37">
        <v>39.200000000000003</v>
      </c>
      <c r="P187" s="38">
        <v>56.1</v>
      </c>
    </row>
    <row r="188" spans="1:16">
      <c r="A188" s="39" t="s">
        <v>186</v>
      </c>
      <c r="B188" s="37" t="s">
        <v>166</v>
      </c>
      <c r="C188" s="37" t="s">
        <v>165</v>
      </c>
      <c r="D188" s="37">
        <v>57.2</v>
      </c>
      <c r="E188" s="37">
        <v>64.400000000000006</v>
      </c>
      <c r="F188" s="37">
        <v>68.5</v>
      </c>
      <c r="G188" s="37">
        <v>76.099999999999994</v>
      </c>
      <c r="H188" s="37">
        <v>83.3</v>
      </c>
      <c r="I188" s="37">
        <v>89.6</v>
      </c>
      <c r="J188" s="37">
        <v>92.9</v>
      </c>
      <c r="K188" s="37">
        <v>93.3</v>
      </c>
      <c r="L188" s="37">
        <v>87.6</v>
      </c>
      <c r="M188" s="37">
        <v>77.8</v>
      </c>
      <c r="N188" s="37">
        <v>66.5</v>
      </c>
      <c r="O188" s="37">
        <v>58.4</v>
      </c>
      <c r="P188" s="38">
        <v>76</v>
      </c>
    </row>
    <row r="189" spans="1:16">
      <c r="A189" s="39" t="s">
        <v>186</v>
      </c>
      <c r="B189" s="37" t="s">
        <v>167</v>
      </c>
      <c r="C189" s="37" t="s">
        <v>168</v>
      </c>
      <c r="D189" s="37">
        <v>8.3000000000000007</v>
      </c>
      <c r="E189" s="37">
        <v>8.3000000000000007</v>
      </c>
      <c r="F189" s="37">
        <v>8.9</v>
      </c>
      <c r="G189" s="37">
        <v>8.6999999999999993</v>
      </c>
      <c r="H189" s="37">
        <v>7.6</v>
      </c>
      <c r="I189" s="37">
        <v>6.5</v>
      </c>
      <c r="J189" s="37">
        <v>6</v>
      </c>
      <c r="K189" s="37">
        <v>5.4</v>
      </c>
      <c r="L189" s="37">
        <v>6.3</v>
      </c>
      <c r="M189" s="37">
        <v>6.3</v>
      </c>
      <c r="N189" s="37">
        <v>7.2</v>
      </c>
      <c r="O189" s="37">
        <v>7.8</v>
      </c>
      <c r="P189" s="38">
        <v>7.2</v>
      </c>
    </row>
    <row r="190" spans="1:16">
      <c r="A190" s="39" t="s">
        <v>186</v>
      </c>
      <c r="B190" s="37" t="s">
        <v>169</v>
      </c>
      <c r="C190" s="37" t="s">
        <v>170</v>
      </c>
      <c r="D190" s="37">
        <v>783</v>
      </c>
      <c r="E190" s="37">
        <v>1001</v>
      </c>
      <c r="F190" s="37">
        <v>1342</v>
      </c>
      <c r="G190" s="37">
        <v>1709</v>
      </c>
      <c r="H190" s="37">
        <v>1837</v>
      </c>
      <c r="I190" s="37">
        <v>2007</v>
      </c>
      <c r="J190" s="37">
        <v>2049</v>
      </c>
      <c r="K190" s="37">
        <v>1915</v>
      </c>
      <c r="L190" s="37">
        <v>1575</v>
      </c>
      <c r="M190" s="37">
        <v>1251</v>
      </c>
      <c r="N190" s="37">
        <v>884</v>
      </c>
      <c r="O190" s="37">
        <v>732</v>
      </c>
      <c r="P190" s="38">
        <v>1424</v>
      </c>
    </row>
    <row r="191" spans="1:16" ht="15.75" thickBot="1">
      <c r="A191" s="58" t="s">
        <v>186</v>
      </c>
      <c r="B191" s="40" t="s">
        <v>171</v>
      </c>
      <c r="C191" s="40" t="s">
        <v>172</v>
      </c>
      <c r="D191" s="37">
        <v>14.56</v>
      </c>
      <c r="E191" s="37"/>
      <c r="F191" s="37"/>
      <c r="G191" s="37"/>
      <c r="H191" s="37"/>
      <c r="I191" s="37"/>
      <c r="J191" s="37"/>
      <c r="K191" s="37"/>
      <c r="L191" s="37"/>
      <c r="M191" s="37"/>
      <c r="N191" s="37"/>
      <c r="O191" s="37"/>
      <c r="P191" s="38" t="s">
        <v>30</v>
      </c>
    </row>
    <row r="192" spans="1:16">
      <c r="A192" s="34" t="s">
        <v>187</v>
      </c>
      <c r="B192" s="37" t="s">
        <v>164</v>
      </c>
      <c r="C192" s="37" t="s">
        <v>165</v>
      </c>
      <c r="D192" s="35">
        <v>44.5</v>
      </c>
      <c r="E192" s="35">
        <v>48</v>
      </c>
      <c r="F192" s="35">
        <v>53.7</v>
      </c>
      <c r="G192" s="35">
        <v>60.5</v>
      </c>
      <c r="H192" s="35">
        <v>68.3</v>
      </c>
      <c r="I192" s="35">
        <v>73.3</v>
      </c>
      <c r="J192" s="35">
        <v>74.8</v>
      </c>
      <c r="K192" s="35">
        <v>74.400000000000006</v>
      </c>
      <c r="L192" s="35">
        <v>70.099999999999994</v>
      </c>
      <c r="M192" s="35">
        <v>61.6</v>
      </c>
      <c r="N192" s="35">
        <v>51.9</v>
      </c>
      <c r="O192" s="35">
        <v>45.5</v>
      </c>
      <c r="P192" s="36">
        <v>60.5</v>
      </c>
    </row>
    <row r="193" spans="1:16">
      <c r="A193" s="37" t="s">
        <v>187</v>
      </c>
      <c r="B193" s="37" t="s">
        <v>166</v>
      </c>
      <c r="C193" s="37" t="s">
        <v>165</v>
      </c>
      <c r="D193" s="37">
        <v>64.599999999999994</v>
      </c>
      <c r="E193" s="37">
        <v>68.2</v>
      </c>
      <c r="F193" s="37">
        <v>73.5</v>
      </c>
      <c r="G193" s="37">
        <v>79.599999999999994</v>
      </c>
      <c r="H193" s="37">
        <v>86.1</v>
      </c>
      <c r="I193" s="37">
        <v>91</v>
      </c>
      <c r="J193" s="37">
        <v>93.1</v>
      </c>
      <c r="K193" s="37">
        <v>94</v>
      </c>
      <c r="L193" s="37">
        <v>89.5</v>
      </c>
      <c r="M193" s="37">
        <v>82.7</v>
      </c>
      <c r="N193" s="37">
        <v>73.099999999999994</v>
      </c>
      <c r="O193" s="37">
        <v>66.099999999999994</v>
      </c>
      <c r="P193" s="38">
        <v>80.099999999999994</v>
      </c>
    </row>
    <row r="194" spans="1:16">
      <c r="A194" s="37" t="s">
        <v>187</v>
      </c>
      <c r="B194" s="37" t="s">
        <v>167</v>
      </c>
      <c r="C194" s="37" t="s">
        <v>168</v>
      </c>
      <c r="D194" s="37">
        <v>9.8000000000000007</v>
      </c>
      <c r="E194" s="37">
        <v>10.1</v>
      </c>
      <c r="F194" s="37">
        <v>10.5</v>
      </c>
      <c r="G194" s="37">
        <v>11</v>
      </c>
      <c r="H194" s="37">
        <v>10.3</v>
      </c>
      <c r="I194" s="37">
        <v>9.1999999999999993</v>
      </c>
      <c r="J194" s="37">
        <v>8.3000000000000007</v>
      </c>
      <c r="K194" s="37">
        <v>7.4</v>
      </c>
      <c r="L194" s="37">
        <v>7.4</v>
      </c>
      <c r="M194" s="37">
        <v>8.3000000000000007</v>
      </c>
      <c r="N194" s="37">
        <v>8.6999999999999993</v>
      </c>
      <c r="O194" s="37">
        <v>9.1999999999999993</v>
      </c>
      <c r="P194" s="38">
        <v>9.1999999999999993</v>
      </c>
    </row>
    <row r="195" spans="1:16">
      <c r="A195" s="37" t="s">
        <v>187</v>
      </c>
      <c r="B195" s="37" t="s">
        <v>169</v>
      </c>
      <c r="C195" s="37" t="s">
        <v>170</v>
      </c>
      <c r="D195" s="37">
        <v>849</v>
      </c>
      <c r="E195" s="37">
        <v>1038</v>
      </c>
      <c r="F195" s="37">
        <v>1328</v>
      </c>
      <c r="G195" s="37">
        <v>1597</v>
      </c>
      <c r="H195" s="37">
        <v>1823</v>
      </c>
      <c r="I195" s="37">
        <v>2009</v>
      </c>
      <c r="J195" s="37">
        <v>2029</v>
      </c>
      <c r="K195" s="37">
        <v>1887</v>
      </c>
      <c r="L195" s="37">
        <v>1596</v>
      </c>
      <c r="M195" s="37">
        <v>1328</v>
      </c>
      <c r="N195" s="37">
        <v>989</v>
      </c>
      <c r="O195" s="37">
        <v>801</v>
      </c>
      <c r="P195" s="38">
        <v>1439</v>
      </c>
    </row>
    <row r="196" spans="1:16">
      <c r="A196" s="39" t="s">
        <v>187</v>
      </c>
      <c r="B196" s="40" t="s">
        <v>171</v>
      </c>
      <c r="C196" s="40" t="s">
        <v>172</v>
      </c>
      <c r="D196" s="40" t="s">
        <v>30</v>
      </c>
      <c r="E196" s="40" t="s">
        <v>30</v>
      </c>
      <c r="F196" s="40" t="s">
        <v>30</v>
      </c>
      <c r="G196" s="40" t="s">
        <v>30</v>
      </c>
      <c r="H196" s="40" t="s">
        <v>30</v>
      </c>
      <c r="I196" s="40" t="s">
        <v>30</v>
      </c>
      <c r="J196" s="40" t="s">
        <v>30</v>
      </c>
      <c r="K196" s="40" t="s">
        <v>30</v>
      </c>
      <c r="L196" s="40" t="s">
        <v>30</v>
      </c>
      <c r="M196" s="40" t="s">
        <v>30</v>
      </c>
      <c r="N196" s="40" t="s">
        <v>30</v>
      </c>
      <c r="O196" s="40" t="s">
        <v>30</v>
      </c>
      <c r="P196" s="41">
        <v>14.63</v>
      </c>
    </row>
    <row r="197" spans="1:16">
      <c r="A197" s="34" t="s">
        <v>188</v>
      </c>
      <c r="B197" s="37" t="s">
        <v>164</v>
      </c>
      <c r="C197" s="37" t="s">
        <v>165</v>
      </c>
      <c r="D197" s="37">
        <v>37.6</v>
      </c>
      <c r="E197" s="37">
        <v>41.3</v>
      </c>
      <c r="F197" s="37">
        <v>48.1</v>
      </c>
      <c r="G197" s="37">
        <v>55.7</v>
      </c>
      <c r="H197" s="37">
        <v>64.7</v>
      </c>
      <c r="I197" s="37">
        <v>71.7</v>
      </c>
      <c r="J197" s="37">
        <v>75</v>
      </c>
      <c r="K197" s="37">
        <v>74.400000000000006</v>
      </c>
      <c r="L197" s="37">
        <v>67.3</v>
      </c>
      <c r="M197" s="37">
        <v>57.2</v>
      </c>
      <c r="N197" s="37">
        <v>46.9</v>
      </c>
      <c r="O197" s="37">
        <v>39</v>
      </c>
      <c r="P197" s="38">
        <v>56.6</v>
      </c>
    </row>
    <row r="198" spans="1:16">
      <c r="A198" s="37" t="s">
        <v>188</v>
      </c>
      <c r="B198" s="37" t="s">
        <v>166</v>
      </c>
      <c r="C198" s="37" t="s">
        <v>165</v>
      </c>
      <c r="D198" s="37">
        <v>58.4</v>
      </c>
      <c r="E198" s="37">
        <v>62.4</v>
      </c>
      <c r="F198" s="37">
        <v>69.2</v>
      </c>
      <c r="G198" s="37">
        <v>77.099999999999994</v>
      </c>
      <c r="H198" s="37">
        <v>84.7</v>
      </c>
      <c r="I198" s="37">
        <v>91.5</v>
      </c>
      <c r="J198" s="37">
        <v>95.8</v>
      </c>
      <c r="K198" s="37">
        <v>96</v>
      </c>
      <c r="L198" s="37">
        <v>89.4</v>
      </c>
      <c r="M198" s="37">
        <v>79.8</v>
      </c>
      <c r="N198" s="37">
        <v>68</v>
      </c>
      <c r="O198" s="37">
        <v>59.7</v>
      </c>
      <c r="P198" s="38">
        <v>77.7</v>
      </c>
    </row>
    <row r="199" spans="1:16">
      <c r="A199" s="37" t="s">
        <v>188</v>
      </c>
      <c r="B199" s="37" t="s">
        <v>167</v>
      </c>
      <c r="C199" s="37" t="s">
        <v>168</v>
      </c>
      <c r="D199" s="37">
        <v>9.8000000000000007</v>
      </c>
      <c r="E199" s="37">
        <v>10.1</v>
      </c>
      <c r="F199" s="37">
        <v>11</v>
      </c>
      <c r="G199" s="37">
        <v>11.2</v>
      </c>
      <c r="H199" s="37">
        <v>10.1</v>
      </c>
      <c r="I199" s="37">
        <v>9.6</v>
      </c>
      <c r="J199" s="37">
        <v>9.6</v>
      </c>
      <c r="K199" s="37">
        <v>8.5</v>
      </c>
      <c r="L199" s="37">
        <v>7.8</v>
      </c>
      <c r="M199" s="37">
        <v>8.6999999999999993</v>
      </c>
      <c r="N199" s="37">
        <v>9.4</v>
      </c>
      <c r="O199" s="37">
        <v>9.4</v>
      </c>
      <c r="P199" s="38">
        <v>9.6</v>
      </c>
    </row>
    <row r="200" spans="1:16">
      <c r="A200" s="37" t="s">
        <v>188</v>
      </c>
      <c r="B200" s="37" t="s">
        <v>169</v>
      </c>
      <c r="C200" s="37" t="s">
        <v>170</v>
      </c>
      <c r="D200" s="37">
        <v>864</v>
      </c>
      <c r="E200" s="37">
        <v>1081</v>
      </c>
      <c r="F200" s="37">
        <v>1387</v>
      </c>
      <c r="G200" s="37">
        <v>1732</v>
      </c>
      <c r="H200" s="37">
        <v>1890</v>
      </c>
      <c r="I200" s="37">
        <v>2135</v>
      </c>
      <c r="J200" s="37">
        <v>2198</v>
      </c>
      <c r="K200" s="37">
        <v>2022</v>
      </c>
      <c r="L200" s="37">
        <v>1674</v>
      </c>
      <c r="M200" s="37">
        <v>1302</v>
      </c>
      <c r="N200" s="37">
        <v>958</v>
      </c>
      <c r="O200" s="37">
        <v>823</v>
      </c>
      <c r="P200" s="38">
        <v>1505</v>
      </c>
    </row>
    <row r="201" spans="1:16">
      <c r="A201" s="39" t="s">
        <v>188</v>
      </c>
      <c r="B201" s="40" t="s">
        <v>171</v>
      </c>
      <c r="C201" s="40" t="s">
        <v>172</v>
      </c>
      <c r="D201" s="40" t="s">
        <v>30</v>
      </c>
      <c r="E201" s="40" t="s">
        <v>30</v>
      </c>
      <c r="F201" s="40" t="s">
        <v>30</v>
      </c>
      <c r="G201" s="40" t="s">
        <v>30</v>
      </c>
      <c r="H201" s="40" t="s">
        <v>30</v>
      </c>
      <c r="I201" s="40" t="s">
        <v>30</v>
      </c>
      <c r="J201" s="40" t="s">
        <v>30</v>
      </c>
      <c r="K201" s="40" t="s">
        <v>30</v>
      </c>
      <c r="L201" s="40" t="s">
        <v>30</v>
      </c>
      <c r="M201" s="40" t="s">
        <v>30</v>
      </c>
      <c r="N201" s="40" t="s">
        <v>30</v>
      </c>
      <c r="O201" s="40" t="s">
        <v>30</v>
      </c>
      <c r="P201" s="41">
        <v>14.43</v>
      </c>
    </row>
    <row r="202" spans="1:16">
      <c r="A202" s="42" t="s">
        <v>189</v>
      </c>
      <c r="B202" s="37" t="s">
        <v>164</v>
      </c>
      <c r="C202" s="37" t="s">
        <v>165</v>
      </c>
      <c r="D202" s="37">
        <v>29.8</v>
      </c>
      <c r="E202" s="37">
        <v>33.5</v>
      </c>
      <c r="F202" s="37">
        <v>41.2</v>
      </c>
      <c r="G202" s="37">
        <v>49.4</v>
      </c>
      <c r="H202" s="37">
        <v>59.6</v>
      </c>
      <c r="I202" s="37">
        <v>67.599999999999994</v>
      </c>
      <c r="J202" s="37">
        <v>71.900000000000006</v>
      </c>
      <c r="K202" s="37">
        <v>71.400000000000006</v>
      </c>
      <c r="L202" s="37">
        <v>63.3</v>
      </c>
      <c r="M202" s="37">
        <v>52</v>
      </c>
      <c r="N202" s="37">
        <v>40.299999999999997</v>
      </c>
      <c r="O202" s="37">
        <v>30.8</v>
      </c>
      <c r="P202" s="38">
        <v>51</v>
      </c>
    </row>
    <row r="203" spans="1:16">
      <c r="A203" s="44" t="s">
        <v>189</v>
      </c>
      <c r="B203" s="37" t="s">
        <v>166</v>
      </c>
      <c r="C203" s="37" t="s">
        <v>165</v>
      </c>
      <c r="D203" s="37">
        <v>54.2</v>
      </c>
      <c r="E203" s="37">
        <v>58.3</v>
      </c>
      <c r="F203" s="37">
        <v>67</v>
      </c>
      <c r="G203" s="37">
        <v>75.8</v>
      </c>
      <c r="H203" s="37">
        <v>83.6</v>
      </c>
      <c r="I203" s="37">
        <v>91.4</v>
      </c>
      <c r="J203" s="37">
        <v>96.9</v>
      </c>
      <c r="K203" s="37">
        <v>96.6</v>
      </c>
      <c r="L203" s="37">
        <v>88.1</v>
      </c>
      <c r="M203" s="37">
        <v>77</v>
      </c>
      <c r="N203" s="37">
        <v>65.099999999999994</v>
      </c>
      <c r="O203" s="37">
        <v>54.7</v>
      </c>
      <c r="P203" s="38">
        <v>75.7</v>
      </c>
    </row>
    <row r="204" spans="1:16">
      <c r="A204" s="44" t="s">
        <v>189</v>
      </c>
      <c r="B204" s="37" t="s">
        <v>167</v>
      </c>
      <c r="C204" s="37" t="s">
        <v>168</v>
      </c>
      <c r="D204" s="37">
        <v>10.9</v>
      </c>
      <c r="E204" s="37">
        <v>11.5</v>
      </c>
      <c r="F204" s="37">
        <v>12.5</v>
      </c>
      <c r="G204" s="37">
        <v>12.8</v>
      </c>
      <c r="H204" s="37">
        <v>12.2</v>
      </c>
      <c r="I204" s="37">
        <v>11.7</v>
      </c>
      <c r="J204" s="37">
        <v>10.7</v>
      </c>
      <c r="K204" s="37">
        <v>9.6999999999999993</v>
      </c>
      <c r="L204" s="37">
        <v>9.6999999999999993</v>
      </c>
      <c r="M204" s="37">
        <v>10.7</v>
      </c>
      <c r="N204" s="37">
        <v>11.1</v>
      </c>
      <c r="O204" s="37">
        <v>10.6</v>
      </c>
      <c r="P204" s="38">
        <v>11.2</v>
      </c>
    </row>
    <row r="205" spans="1:16">
      <c r="A205" s="44" t="s">
        <v>189</v>
      </c>
      <c r="B205" s="37" t="s">
        <v>169</v>
      </c>
      <c r="C205" s="37" t="s">
        <v>170</v>
      </c>
      <c r="D205" s="37">
        <v>930</v>
      </c>
      <c r="E205" s="37">
        <v>1161</v>
      </c>
      <c r="F205" s="37">
        <v>1481</v>
      </c>
      <c r="G205" s="37">
        <v>1882</v>
      </c>
      <c r="H205" s="37">
        <v>2023</v>
      </c>
      <c r="I205" s="37">
        <v>2174</v>
      </c>
      <c r="J205" s="37">
        <v>2247</v>
      </c>
      <c r="K205" s="37">
        <v>2025</v>
      </c>
      <c r="L205" s="37">
        <v>1688</v>
      </c>
      <c r="M205" s="37">
        <v>1275</v>
      </c>
      <c r="N205" s="37">
        <v>1005</v>
      </c>
      <c r="O205" s="37">
        <v>854</v>
      </c>
      <c r="P205" s="38">
        <v>1564</v>
      </c>
    </row>
    <row r="206" spans="1:16">
      <c r="A206" s="536" t="s">
        <v>189</v>
      </c>
      <c r="B206" s="40" t="s">
        <v>171</v>
      </c>
      <c r="C206" s="40" t="s">
        <v>172</v>
      </c>
      <c r="D206" s="40" t="s">
        <v>30</v>
      </c>
      <c r="E206" s="40" t="s">
        <v>30</v>
      </c>
      <c r="F206" s="40" t="s">
        <v>30</v>
      </c>
      <c r="G206" s="40" t="s">
        <v>30</v>
      </c>
      <c r="H206" s="40" t="s">
        <v>30</v>
      </c>
      <c r="I206" s="40" t="s">
        <v>30</v>
      </c>
      <c r="J206" s="40" t="s">
        <v>30</v>
      </c>
      <c r="K206" s="40" t="s">
        <v>30</v>
      </c>
      <c r="L206" s="40" t="s">
        <v>30</v>
      </c>
      <c r="M206" s="40" t="s">
        <v>30</v>
      </c>
      <c r="N206" s="40" t="s">
        <v>30</v>
      </c>
      <c r="O206" s="40" t="s">
        <v>30</v>
      </c>
      <c r="P206" s="41">
        <v>14.7</v>
      </c>
    </row>
    <row r="207" spans="1:16">
      <c r="A207" s="37" t="s">
        <v>190</v>
      </c>
      <c r="B207" s="37" t="s">
        <v>164</v>
      </c>
      <c r="C207" s="37" t="s">
        <v>165</v>
      </c>
      <c r="D207" s="37">
        <v>40.6</v>
      </c>
      <c r="E207" s="37">
        <v>45</v>
      </c>
      <c r="F207" s="37">
        <v>52.1</v>
      </c>
      <c r="G207" s="37">
        <v>59.6</v>
      </c>
      <c r="H207" s="37">
        <v>67.900000000000006</v>
      </c>
      <c r="I207" s="37">
        <v>73.400000000000006</v>
      </c>
      <c r="J207" s="37">
        <v>75.2</v>
      </c>
      <c r="K207" s="37">
        <v>75.3</v>
      </c>
      <c r="L207" s="37">
        <v>69.8</v>
      </c>
      <c r="M207" s="37">
        <v>61</v>
      </c>
      <c r="N207" s="37">
        <v>49.6</v>
      </c>
      <c r="O207" s="37">
        <v>40.799999999999997</v>
      </c>
      <c r="P207" s="38">
        <v>59.2</v>
      </c>
    </row>
    <row r="208" spans="1:16">
      <c r="A208" s="39" t="s">
        <v>190</v>
      </c>
      <c r="B208" s="37" t="s">
        <v>166</v>
      </c>
      <c r="C208" s="37" t="s">
        <v>165</v>
      </c>
      <c r="D208" s="37">
        <v>63.8</v>
      </c>
      <c r="E208" s="37">
        <v>68.599999999999994</v>
      </c>
      <c r="F208" s="37">
        <v>76.2</v>
      </c>
      <c r="G208" s="37">
        <v>83.6</v>
      </c>
      <c r="H208" s="37">
        <v>89.8</v>
      </c>
      <c r="I208" s="37">
        <v>94.7</v>
      </c>
      <c r="J208" s="37">
        <v>96.6</v>
      </c>
      <c r="K208" s="37">
        <v>97.1</v>
      </c>
      <c r="L208" s="37">
        <v>90.8</v>
      </c>
      <c r="M208" s="37">
        <v>82.4</v>
      </c>
      <c r="N208" s="37">
        <v>72</v>
      </c>
      <c r="O208" s="37">
        <v>64</v>
      </c>
      <c r="P208" s="38">
        <v>81.599999999999994</v>
      </c>
    </row>
    <row r="209" spans="1:16">
      <c r="A209" s="39" t="s">
        <v>190</v>
      </c>
      <c r="B209" s="37" t="s">
        <v>167</v>
      </c>
      <c r="C209" s="37" t="s">
        <v>168</v>
      </c>
      <c r="D209" s="37">
        <v>7.2</v>
      </c>
      <c r="E209" s="37">
        <v>8.1999999999999993</v>
      </c>
      <c r="F209" s="37">
        <v>9.4</v>
      </c>
      <c r="G209" s="37">
        <v>10.199999999999999</v>
      </c>
      <c r="H209" s="37">
        <v>10.3</v>
      </c>
      <c r="I209" s="37">
        <v>10.6</v>
      </c>
      <c r="J209" s="37">
        <v>9.9</v>
      </c>
      <c r="K209" s="37">
        <v>8.8000000000000007</v>
      </c>
      <c r="L209" s="37">
        <v>7.7</v>
      </c>
      <c r="M209" s="37">
        <v>8</v>
      </c>
      <c r="N209" s="37">
        <v>7.3</v>
      </c>
      <c r="O209" s="37">
        <v>7</v>
      </c>
      <c r="P209" s="38">
        <v>8.6999999999999993</v>
      </c>
    </row>
    <row r="210" spans="1:16">
      <c r="A210" s="39" t="s">
        <v>190</v>
      </c>
      <c r="B210" s="37" t="s">
        <v>169</v>
      </c>
      <c r="C210" s="37" t="s">
        <v>170</v>
      </c>
      <c r="D210" s="37">
        <v>1058</v>
      </c>
      <c r="E210" s="37">
        <v>1316</v>
      </c>
      <c r="F210" s="37">
        <v>1619</v>
      </c>
      <c r="G210" s="37">
        <v>1906</v>
      </c>
      <c r="H210" s="37">
        <v>2056</v>
      </c>
      <c r="I210" s="37">
        <v>2187</v>
      </c>
      <c r="J210" s="37">
        <v>2207</v>
      </c>
      <c r="K210" s="37">
        <v>2046</v>
      </c>
      <c r="L210" s="37">
        <v>1758</v>
      </c>
      <c r="M210" s="37">
        <v>1384</v>
      </c>
      <c r="N210" s="37">
        <v>1108</v>
      </c>
      <c r="O210" s="37">
        <v>983</v>
      </c>
      <c r="P210" s="38">
        <v>1637</v>
      </c>
    </row>
    <row r="211" spans="1:16">
      <c r="A211" s="58" t="s">
        <v>190</v>
      </c>
      <c r="B211" s="40" t="s">
        <v>171</v>
      </c>
      <c r="C211" s="40" t="s">
        <v>172</v>
      </c>
      <c r="D211" s="40" t="s">
        <v>30</v>
      </c>
      <c r="E211" s="40" t="s">
        <v>30</v>
      </c>
      <c r="F211" s="40" t="s">
        <v>30</v>
      </c>
      <c r="G211" s="40" t="s">
        <v>30</v>
      </c>
      <c r="H211" s="40" t="s">
        <v>30</v>
      </c>
      <c r="I211" s="40" t="s">
        <v>30</v>
      </c>
      <c r="J211" s="40" t="s">
        <v>30</v>
      </c>
      <c r="K211" s="40" t="s">
        <v>30</v>
      </c>
      <c r="L211" s="40" t="s">
        <v>30</v>
      </c>
      <c r="M211" s="40" t="s">
        <v>30</v>
      </c>
      <c r="N211" s="40" t="s">
        <v>30</v>
      </c>
      <c r="O211" s="40" t="s">
        <v>30</v>
      </c>
      <c r="P211" s="41">
        <v>14.7</v>
      </c>
    </row>
    <row r="212" spans="1:16">
      <c r="A212" s="37" t="s">
        <v>191</v>
      </c>
      <c r="B212" s="37" t="s">
        <v>164</v>
      </c>
      <c r="C212" s="37" t="s">
        <v>165</v>
      </c>
      <c r="D212" s="37">
        <v>48.6</v>
      </c>
      <c r="E212" s="37">
        <v>50.9</v>
      </c>
      <c r="F212" s="37">
        <v>56.6</v>
      </c>
      <c r="G212" s="37">
        <v>64.400000000000006</v>
      </c>
      <c r="H212" s="37">
        <v>72.3</v>
      </c>
      <c r="I212" s="37">
        <v>77.5</v>
      </c>
      <c r="J212" s="37">
        <v>79.400000000000006</v>
      </c>
      <c r="K212" s="37">
        <v>79.7</v>
      </c>
      <c r="L212" s="37">
        <v>75.900000000000006</v>
      </c>
      <c r="M212" s="37">
        <v>68.099999999999994</v>
      </c>
      <c r="N212" s="37">
        <v>58.6</v>
      </c>
      <c r="O212" s="37">
        <v>50.7</v>
      </c>
      <c r="P212" s="38">
        <v>65.3</v>
      </c>
    </row>
    <row r="213" spans="1:16">
      <c r="A213" s="39" t="s">
        <v>191</v>
      </c>
      <c r="B213" s="37" t="s">
        <v>166</v>
      </c>
      <c r="C213" s="37" t="s">
        <v>165</v>
      </c>
      <c r="D213" s="37">
        <v>61.8</v>
      </c>
      <c r="E213" s="37">
        <v>64.3</v>
      </c>
      <c r="F213" s="37">
        <v>70.2</v>
      </c>
      <c r="G213" s="37">
        <v>75.900000000000006</v>
      </c>
      <c r="H213" s="37">
        <v>83</v>
      </c>
      <c r="I213" s="37">
        <v>88.2</v>
      </c>
      <c r="J213" s="37">
        <v>89.6</v>
      </c>
      <c r="K213" s="37">
        <v>90.3</v>
      </c>
      <c r="L213" s="37">
        <v>87.4</v>
      </c>
      <c r="M213" s="37">
        <v>80.599999999999994</v>
      </c>
      <c r="N213" s="37">
        <v>71.599999999999994</v>
      </c>
      <c r="O213" s="37">
        <v>63.9</v>
      </c>
      <c r="P213" s="38">
        <v>77.2</v>
      </c>
    </row>
    <row r="214" spans="1:16">
      <c r="A214" s="39" t="s">
        <v>191</v>
      </c>
      <c r="B214" s="37" t="s">
        <v>167</v>
      </c>
      <c r="C214" s="37" t="s">
        <v>168</v>
      </c>
      <c r="D214" s="37">
        <v>11.5</v>
      </c>
      <c r="E214" s="37">
        <v>11.8</v>
      </c>
      <c r="F214" s="37">
        <v>12</v>
      </c>
      <c r="G214" s="37">
        <v>12.6</v>
      </c>
      <c r="H214" s="37">
        <v>12.6</v>
      </c>
      <c r="I214" s="37">
        <v>11.1</v>
      </c>
      <c r="J214" s="37">
        <v>9.6</v>
      </c>
      <c r="K214" s="37">
        <v>9.5</v>
      </c>
      <c r="L214" s="37">
        <v>9.6999999999999993</v>
      </c>
      <c r="M214" s="37">
        <v>10.6</v>
      </c>
      <c r="N214" s="37">
        <v>11.1</v>
      </c>
      <c r="O214" s="37">
        <v>11.5</v>
      </c>
      <c r="P214" s="38">
        <v>11.1</v>
      </c>
    </row>
    <row r="215" spans="1:16">
      <c r="A215" s="39" t="s">
        <v>191</v>
      </c>
      <c r="B215" s="37" t="s">
        <v>169</v>
      </c>
      <c r="C215" s="37" t="s">
        <v>170</v>
      </c>
      <c r="D215" s="37">
        <v>907</v>
      </c>
      <c r="E215" s="37">
        <v>1088</v>
      </c>
      <c r="F215" s="37">
        <v>1442</v>
      </c>
      <c r="G215" s="37">
        <v>1768</v>
      </c>
      <c r="H215" s="37">
        <v>2010</v>
      </c>
      <c r="I215" s="37">
        <v>2071</v>
      </c>
      <c r="J215" s="37">
        <v>1994</v>
      </c>
      <c r="K215" s="37">
        <v>1880</v>
      </c>
      <c r="L215" s="37">
        <v>1610</v>
      </c>
      <c r="M215" s="37">
        <v>1371</v>
      </c>
      <c r="N215" s="37">
        <v>1052</v>
      </c>
      <c r="O215" s="37">
        <v>840</v>
      </c>
      <c r="P215" s="38">
        <v>1505</v>
      </c>
    </row>
    <row r="216" spans="1:16">
      <c r="A216" s="58" t="s">
        <v>191</v>
      </c>
      <c r="B216" s="40" t="s">
        <v>171</v>
      </c>
      <c r="C216" s="40" t="s">
        <v>172</v>
      </c>
      <c r="D216" s="40" t="s">
        <v>30</v>
      </c>
      <c r="E216" s="40" t="s">
        <v>30</v>
      </c>
      <c r="F216" s="40" t="s">
        <v>30</v>
      </c>
      <c r="G216" s="40" t="s">
        <v>30</v>
      </c>
      <c r="H216" s="40" t="s">
        <v>30</v>
      </c>
      <c r="I216" s="40" t="s">
        <v>30</v>
      </c>
      <c r="J216" s="40" t="s">
        <v>30</v>
      </c>
      <c r="K216" s="40" t="s">
        <v>30</v>
      </c>
      <c r="L216" s="40" t="s">
        <v>30</v>
      </c>
      <c r="M216" s="40" t="s">
        <v>30</v>
      </c>
      <c r="N216" s="40" t="s">
        <v>30</v>
      </c>
      <c r="O216" s="40" t="s">
        <v>30</v>
      </c>
      <c r="P216" s="41">
        <v>14.7</v>
      </c>
    </row>
    <row r="226" spans="1:1">
      <c r="A226" s="94" t="s">
        <v>424</v>
      </c>
    </row>
    <row r="227" spans="1:1" ht="15.75" thickBot="1"/>
    <row r="228" spans="1:1">
      <c r="A228" s="110" t="s">
        <v>163</v>
      </c>
    </row>
    <row r="229" spans="1:1">
      <c r="A229" s="111" t="s">
        <v>173</v>
      </c>
    </row>
    <row r="230" spans="1:1">
      <c r="A230" s="111" t="s">
        <v>174</v>
      </c>
    </row>
    <row r="231" spans="1:1">
      <c r="A231" s="111" t="s">
        <v>175</v>
      </c>
    </row>
    <row r="232" spans="1:1" ht="15.75" thickBot="1">
      <c r="A232" s="112" t="s">
        <v>176</v>
      </c>
    </row>
    <row r="233" spans="1:1">
      <c r="A233" s="110" t="s">
        <v>177</v>
      </c>
    </row>
    <row r="234" spans="1:1">
      <c r="A234" s="111" t="s">
        <v>178</v>
      </c>
    </row>
    <row r="235" spans="1:1">
      <c r="A235" s="111" t="s">
        <v>179</v>
      </c>
    </row>
    <row r="236" spans="1:1">
      <c r="A236" s="111" t="s">
        <v>180</v>
      </c>
    </row>
    <row r="237" spans="1:1" ht="15.75" thickBot="1">
      <c r="A237" s="111" t="s">
        <v>181</v>
      </c>
    </row>
    <row r="238" spans="1:1">
      <c r="A238" s="113" t="s">
        <v>182</v>
      </c>
    </row>
    <row r="239" spans="1:1">
      <c r="A239" s="111" t="s">
        <v>183</v>
      </c>
    </row>
    <row r="240" spans="1:1">
      <c r="A240" s="111" t="s">
        <v>184</v>
      </c>
    </row>
    <row r="241" spans="1:1">
      <c r="A241" s="111" t="s">
        <v>185</v>
      </c>
    </row>
    <row r="242" spans="1:1" ht="15.75" thickBot="1">
      <c r="A242" s="111" t="s">
        <v>186</v>
      </c>
    </row>
    <row r="243" spans="1:1">
      <c r="A243" s="110" t="s">
        <v>187</v>
      </c>
    </row>
    <row r="244" spans="1:1">
      <c r="A244" s="111" t="s">
        <v>188</v>
      </c>
    </row>
    <row r="245" spans="1:1">
      <c r="A245" s="114" t="s">
        <v>189</v>
      </c>
    </row>
    <row r="246" spans="1:1">
      <c r="A246" s="115" t="s">
        <v>190</v>
      </c>
    </row>
    <row r="247" spans="1:1" ht="15.75" thickBot="1">
      <c r="A247" s="116" t="s">
        <v>191</v>
      </c>
    </row>
    <row r="279" spans="1:2">
      <c r="A279" s="94" t="s">
        <v>433</v>
      </c>
    </row>
    <row r="280" spans="1:2">
      <c r="A280" t="s">
        <v>434</v>
      </c>
    </row>
    <row r="283" spans="1:2">
      <c r="A283" s="94" t="s">
        <v>436</v>
      </c>
      <c r="B283" t="s">
        <v>437</v>
      </c>
    </row>
    <row r="325" spans="1:12">
      <c r="A325" s="95" t="s">
        <v>420</v>
      </c>
    </row>
    <row r="326" spans="1:12">
      <c r="A326" t="s">
        <v>435</v>
      </c>
    </row>
    <row r="327" spans="1:12" ht="18">
      <c r="A327" s="764" t="s">
        <v>421</v>
      </c>
      <c r="B327" s="764"/>
      <c r="C327" s="764"/>
      <c r="D327" s="764"/>
      <c r="E327" s="764"/>
      <c r="F327" s="764"/>
      <c r="G327" s="764"/>
      <c r="H327" s="764"/>
      <c r="I327" s="764"/>
      <c r="J327" s="764"/>
      <c r="K327" s="764"/>
      <c r="L327" s="764"/>
    </row>
    <row r="328" spans="1:12" ht="183.75" customHeight="1">
      <c r="A328" s="700" t="s">
        <v>422</v>
      </c>
      <c r="B328" s="682"/>
      <c r="C328" s="682"/>
      <c r="D328" s="682"/>
      <c r="E328" s="682"/>
      <c r="F328" s="682"/>
      <c r="G328" s="682"/>
      <c r="H328" s="682"/>
      <c r="I328" s="682"/>
      <c r="J328" s="682"/>
      <c r="K328" s="682"/>
      <c r="L328" s="682"/>
    </row>
    <row r="330" spans="1:12">
      <c r="A330" s="94" t="s">
        <v>433</v>
      </c>
    </row>
    <row r="331" spans="1:12">
      <c r="A331" t="s">
        <v>434</v>
      </c>
    </row>
    <row r="333" spans="1:12">
      <c r="A333" s="94" t="s">
        <v>394</v>
      </c>
      <c r="B333" s="94" t="s">
        <v>425</v>
      </c>
      <c r="C333" s="94" t="s">
        <v>426</v>
      </c>
    </row>
    <row r="334" spans="1:12">
      <c r="A334" t="s">
        <v>384</v>
      </c>
      <c r="B334" t="s">
        <v>390</v>
      </c>
      <c r="C334" t="s">
        <v>46</v>
      </c>
    </row>
    <row r="335" spans="1:12">
      <c r="A335" t="s">
        <v>367</v>
      </c>
      <c r="B335" t="s">
        <v>390</v>
      </c>
      <c r="C335" t="s">
        <v>46</v>
      </c>
    </row>
    <row r="336" spans="1:12">
      <c r="A336" t="s">
        <v>385</v>
      </c>
      <c r="B336" t="s">
        <v>387</v>
      </c>
      <c r="C336" t="s">
        <v>391</v>
      </c>
    </row>
    <row r="337" spans="1:3">
      <c r="A337" t="s">
        <v>386</v>
      </c>
      <c r="B337" t="s">
        <v>388</v>
      </c>
      <c r="C337" t="s">
        <v>392</v>
      </c>
    </row>
    <row r="338" spans="1:3">
      <c r="A338" t="s">
        <v>337</v>
      </c>
      <c r="B338" t="s">
        <v>389</v>
      </c>
      <c r="C338" t="s">
        <v>393</v>
      </c>
    </row>
    <row r="392" spans="1:6">
      <c r="A392" t="s">
        <v>861</v>
      </c>
    </row>
    <row r="393" spans="1:6" ht="15.75" thickBot="1">
      <c r="A393" t="s">
        <v>860</v>
      </c>
      <c r="B393" t="s">
        <v>505</v>
      </c>
      <c r="C393" t="s">
        <v>862</v>
      </c>
      <c r="D393" t="s">
        <v>427</v>
      </c>
      <c r="E393" t="s">
        <v>863</v>
      </c>
      <c r="F393" t="s">
        <v>439</v>
      </c>
    </row>
    <row r="394" spans="1:6">
      <c r="A394" s="120">
        <v>1</v>
      </c>
    </row>
    <row r="395" spans="1:6">
      <c r="A395" s="121">
        <f t="shared" ref="A395:A426" si="0">A394+1</f>
        <v>2</v>
      </c>
    </row>
    <row r="396" spans="1:6">
      <c r="A396" s="121">
        <f t="shared" si="0"/>
        <v>3</v>
      </c>
    </row>
    <row r="397" spans="1:6">
      <c r="A397" s="121">
        <f t="shared" si="0"/>
        <v>4</v>
      </c>
    </row>
    <row r="398" spans="1:6">
      <c r="A398" s="121">
        <f t="shared" si="0"/>
        <v>5</v>
      </c>
    </row>
    <row r="399" spans="1:6">
      <c r="A399" s="121">
        <f t="shared" si="0"/>
        <v>6</v>
      </c>
    </row>
    <row r="400" spans="1:6">
      <c r="A400" s="121">
        <f t="shared" si="0"/>
        <v>7</v>
      </c>
    </row>
    <row r="401" spans="1:1">
      <c r="A401" s="121">
        <f t="shared" si="0"/>
        <v>8</v>
      </c>
    </row>
    <row r="402" spans="1:1">
      <c r="A402" s="121">
        <f t="shared" si="0"/>
        <v>9</v>
      </c>
    </row>
    <row r="403" spans="1:1">
      <c r="A403" s="121">
        <f t="shared" si="0"/>
        <v>10</v>
      </c>
    </row>
    <row r="404" spans="1:1">
      <c r="A404" s="121">
        <f t="shared" si="0"/>
        <v>11</v>
      </c>
    </row>
    <row r="405" spans="1:1">
      <c r="A405" s="121">
        <f t="shared" si="0"/>
        <v>12</v>
      </c>
    </row>
    <row r="406" spans="1:1">
      <c r="A406" s="121">
        <f t="shared" si="0"/>
        <v>13</v>
      </c>
    </row>
    <row r="407" spans="1:1">
      <c r="A407" s="121">
        <f t="shared" si="0"/>
        <v>14</v>
      </c>
    </row>
    <row r="408" spans="1:1">
      <c r="A408" s="121">
        <f t="shared" si="0"/>
        <v>15</v>
      </c>
    </row>
    <row r="409" spans="1:1">
      <c r="A409" s="121">
        <f t="shared" si="0"/>
        <v>16</v>
      </c>
    </row>
    <row r="410" spans="1:1">
      <c r="A410" s="121">
        <f t="shared" si="0"/>
        <v>17</v>
      </c>
    </row>
    <row r="411" spans="1:1">
      <c r="A411" s="121">
        <f t="shared" si="0"/>
        <v>18</v>
      </c>
    </row>
    <row r="412" spans="1:1">
      <c r="A412" s="121">
        <f t="shared" si="0"/>
        <v>19</v>
      </c>
    </row>
    <row r="413" spans="1:1">
      <c r="A413" s="121">
        <f t="shared" si="0"/>
        <v>20</v>
      </c>
    </row>
    <row r="414" spans="1:1">
      <c r="A414" s="121">
        <f t="shared" si="0"/>
        <v>21</v>
      </c>
    </row>
    <row r="415" spans="1:1">
      <c r="A415" s="121">
        <f t="shared" si="0"/>
        <v>22</v>
      </c>
    </row>
    <row r="416" spans="1:1">
      <c r="A416" s="121">
        <f t="shared" si="0"/>
        <v>23</v>
      </c>
    </row>
    <row r="417" spans="1:1">
      <c r="A417" s="121">
        <f t="shared" si="0"/>
        <v>24</v>
      </c>
    </row>
    <row r="418" spans="1:1">
      <c r="A418" s="121">
        <f t="shared" si="0"/>
        <v>25</v>
      </c>
    </row>
    <row r="419" spans="1:1">
      <c r="A419" s="121">
        <f t="shared" si="0"/>
        <v>26</v>
      </c>
    </row>
    <row r="420" spans="1:1">
      <c r="A420" s="121">
        <f t="shared" si="0"/>
        <v>27</v>
      </c>
    </row>
    <row r="421" spans="1:1">
      <c r="A421" s="121">
        <f t="shared" si="0"/>
        <v>28</v>
      </c>
    </row>
    <row r="422" spans="1:1">
      <c r="A422" s="121">
        <f t="shared" si="0"/>
        <v>29</v>
      </c>
    </row>
    <row r="423" spans="1:1">
      <c r="A423" s="121">
        <f t="shared" si="0"/>
        <v>30</v>
      </c>
    </row>
    <row r="424" spans="1:1">
      <c r="A424" s="121">
        <f t="shared" si="0"/>
        <v>31</v>
      </c>
    </row>
    <row r="425" spans="1:1">
      <c r="A425" s="121">
        <f t="shared" si="0"/>
        <v>32</v>
      </c>
    </row>
    <row r="426" spans="1:1">
      <c r="A426" s="121">
        <f t="shared" si="0"/>
        <v>33</v>
      </c>
    </row>
    <row r="427" spans="1:1">
      <c r="A427" s="121">
        <f t="shared" ref="A427:A453" si="1">A426+1</f>
        <v>34</v>
      </c>
    </row>
    <row r="428" spans="1:1">
      <c r="A428" s="121">
        <f t="shared" si="1"/>
        <v>35</v>
      </c>
    </row>
    <row r="429" spans="1:1">
      <c r="A429" s="121">
        <f t="shared" si="1"/>
        <v>36</v>
      </c>
    </row>
    <row r="430" spans="1:1">
      <c r="A430" s="121">
        <f t="shared" si="1"/>
        <v>37</v>
      </c>
    </row>
    <row r="431" spans="1:1">
      <c r="A431" s="121">
        <f t="shared" si="1"/>
        <v>38</v>
      </c>
    </row>
    <row r="432" spans="1:1">
      <c r="A432" s="121">
        <f t="shared" si="1"/>
        <v>39</v>
      </c>
    </row>
    <row r="433" spans="1:1">
      <c r="A433" s="121">
        <f t="shared" si="1"/>
        <v>40</v>
      </c>
    </row>
    <row r="434" spans="1:1">
      <c r="A434" s="121">
        <f t="shared" si="1"/>
        <v>41</v>
      </c>
    </row>
    <row r="435" spans="1:1">
      <c r="A435" s="121">
        <f t="shared" si="1"/>
        <v>42</v>
      </c>
    </row>
    <row r="436" spans="1:1">
      <c r="A436" s="121">
        <f t="shared" si="1"/>
        <v>43</v>
      </c>
    </row>
    <row r="437" spans="1:1">
      <c r="A437" s="121">
        <f t="shared" si="1"/>
        <v>44</v>
      </c>
    </row>
    <row r="438" spans="1:1">
      <c r="A438" s="121">
        <f t="shared" si="1"/>
        <v>45</v>
      </c>
    </row>
    <row r="439" spans="1:1">
      <c r="A439" s="121">
        <f t="shared" si="1"/>
        <v>46</v>
      </c>
    </row>
    <row r="440" spans="1:1">
      <c r="A440" s="121">
        <f t="shared" si="1"/>
        <v>47</v>
      </c>
    </row>
    <row r="441" spans="1:1">
      <c r="A441" s="121">
        <f t="shared" si="1"/>
        <v>48</v>
      </c>
    </row>
    <row r="442" spans="1:1">
      <c r="A442" s="121">
        <f t="shared" si="1"/>
        <v>49</v>
      </c>
    </row>
    <row r="443" spans="1:1">
      <c r="A443" s="121">
        <f t="shared" si="1"/>
        <v>50</v>
      </c>
    </row>
    <row r="444" spans="1:1">
      <c r="A444" s="121">
        <f t="shared" si="1"/>
        <v>51</v>
      </c>
    </row>
    <row r="445" spans="1:1">
      <c r="A445" s="121">
        <f t="shared" si="1"/>
        <v>52</v>
      </c>
    </row>
    <row r="446" spans="1:1">
      <c r="A446" s="121">
        <f t="shared" si="1"/>
        <v>53</v>
      </c>
    </row>
    <row r="447" spans="1:1">
      <c r="A447" s="121">
        <f t="shared" si="1"/>
        <v>54</v>
      </c>
    </row>
    <row r="448" spans="1:1">
      <c r="A448" s="121">
        <f t="shared" si="1"/>
        <v>55</v>
      </c>
    </row>
    <row r="449" spans="1:1">
      <c r="A449" s="121">
        <f t="shared" si="1"/>
        <v>56</v>
      </c>
    </row>
    <row r="450" spans="1:1">
      <c r="A450" s="121">
        <f t="shared" si="1"/>
        <v>57</v>
      </c>
    </row>
    <row r="451" spans="1:1">
      <c r="A451" s="121">
        <f t="shared" si="1"/>
        <v>58</v>
      </c>
    </row>
    <row r="452" spans="1:1">
      <c r="A452" s="121">
        <f t="shared" si="1"/>
        <v>59</v>
      </c>
    </row>
    <row r="453" spans="1:1" ht="15.75" thickBot="1">
      <c r="A453" s="122">
        <f t="shared" si="1"/>
        <v>60</v>
      </c>
    </row>
    <row r="465" spans="1:1" ht="15.75" thickBot="1"/>
    <row r="466" spans="1:1">
      <c r="A466" s="34" t="s">
        <v>163</v>
      </c>
    </row>
    <row r="467" spans="1:1">
      <c r="A467" s="37" t="s">
        <v>173</v>
      </c>
    </row>
    <row r="468" spans="1:1">
      <c r="A468" s="37" t="s">
        <v>174</v>
      </c>
    </row>
    <row r="469" spans="1:1">
      <c r="A469" s="37" t="s">
        <v>175</v>
      </c>
    </row>
    <row r="470" spans="1:1" ht="15.75" thickBot="1">
      <c r="A470" s="44" t="s">
        <v>176</v>
      </c>
    </row>
    <row r="471" spans="1:1">
      <c r="A471" s="34" t="s">
        <v>177</v>
      </c>
    </row>
    <row r="472" spans="1:1">
      <c r="A472" s="37" t="s">
        <v>178</v>
      </c>
    </row>
    <row r="473" spans="1:1">
      <c r="A473" s="37" t="s">
        <v>179</v>
      </c>
    </row>
    <row r="474" spans="1:1">
      <c r="A474" s="37" t="s">
        <v>180</v>
      </c>
    </row>
    <row r="475" spans="1:1" ht="15.75" thickBot="1">
      <c r="A475" s="39" t="s">
        <v>181</v>
      </c>
    </row>
    <row r="476" spans="1:1">
      <c r="A476" s="42" t="s">
        <v>182</v>
      </c>
    </row>
    <row r="477" spans="1:1">
      <c r="A477" s="37" t="s">
        <v>183</v>
      </c>
    </row>
    <row r="478" spans="1:1">
      <c r="A478" s="37" t="s">
        <v>184</v>
      </c>
    </row>
    <row r="479" spans="1:1">
      <c r="A479" s="37" t="s">
        <v>185</v>
      </c>
    </row>
    <row r="480" spans="1:1" ht="15.75" thickBot="1">
      <c r="A480" s="39" t="s">
        <v>186</v>
      </c>
    </row>
    <row r="481" spans="1:1">
      <c r="A481" s="34" t="s">
        <v>187</v>
      </c>
    </row>
    <row r="482" spans="1:1">
      <c r="A482" s="37" t="s">
        <v>188</v>
      </c>
    </row>
    <row r="483" spans="1:1">
      <c r="A483" s="123" t="s">
        <v>189</v>
      </c>
    </row>
    <row r="484" spans="1:1" ht="15.75" customHeight="1">
      <c r="A484" s="45" t="s">
        <v>190</v>
      </c>
    </row>
    <row r="485" spans="1:1">
      <c r="A485" s="46" t="s">
        <v>191</v>
      </c>
    </row>
  </sheetData>
  <sheetProtection algorithmName="SHA-512" hashValue="XDHSzfiGKQV1xf5SsimwmhIMIjD14sWOeKsijs96FreZGfJZ0e7W4aYC7XjXhFTDOqqkQuniqrwQIS3X3ZCnSQ==" saltValue="gYGrwO+Lfmq21JRwdDHRiQ==" spinCount="100000" sheet="1" objects="1" scenarios="1" formatColumns="0" formatRows="0" autoFilter="0"/>
  <mergeCells count="14">
    <mergeCell ref="A17:I17"/>
    <mergeCell ref="A44:D44"/>
    <mergeCell ref="A45:D45"/>
    <mergeCell ref="B18:D18"/>
    <mergeCell ref="A41:D41"/>
    <mergeCell ref="A43:D43"/>
    <mergeCell ref="A42:D42"/>
    <mergeCell ref="A38:D38"/>
    <mergeCell ref="A39:D39"/>
    <mergeCell ref="A328:L328"/>
    <mergeCell ref="A108:H108"/>
    <mergeCell ref="A327:L327"/>
    <mergeCell ref="A96:H96"/>
    <mergeCell ref="A59:H59"/>
  </mergeCells>
  <dataValidations disablePrompts="1" count="1">
    <dataValidation allowBlank="1" showInputMessage="1" showErrorMessage="1" prompt="Enter data_x000a_" sqref="B107:C107" xr:uid="{D7E468CC-3120-4636-95FA-A5E27D9526F1}"/>
  </dataValidations>
  <hyperlinks>
    <hyperlink ref="A90" r:id="rId1" xr:uid="{A590AF0B-C71D-4EF3-B901-ACB3B49AF7E0}"/>
    <hyperlink ref="I96" location="'Input Calculations'!A1" display="Back to Input Calculations" xr:uid="{0F726645-4CCA-450B-960D-4DE6B2A1C618}"/>
  </hyperlinks>
  <pageMargins left="0.7" right="0.7" top="0.75" bottom="0.75" header="0.3" footer="0.3"/>
  <pageSetup orientation="portrait" r:id="rId2"/>
  <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7B9B0-87CA-47FB-90F8-4F353FB0739A}">
  <sheetPr codeName="Sheet13">
    <tabColor theme="1"/>
  </sheetPr>
  <dimension ref="A1:B18"/>
  <sheetViews>
    <sheetView workbookViewId="0">
      <selection sqref="A1:B1"/>
    </sheetView>
  </sheetViews>
  <sheetFormatPr defaultRowHeight="15"/>
  <cols>
    <col min="1" max="2" width="60.7109375" customWidth="1"/>
  </cols>
  <sheetData>
    <row r="1" spans="1:2" ht="18.75" thickBot="1">
      <c r="A1" s="777" t="s">
        <v>246</v>
      </c>
      <c r="B1" s="777"/>
    </row>
    <row r="2" spans="1:2" ht="45" customHeight="1" thickBot="1">
      <c r="A2" s="755"/>
      <c r="B2" s="757"/>
    </row>
    <row r="4" spans="1:2" ht="15.75" thickBot="1">
      <c r="A4" s="3" t="s">
        <v>247</v>
      </c>
      <c r="B4" s="3" t="s">
        <v>248</v>
      </c>
    </row>
    <row r="5" spans="1:2">
      <c r="A5" s="2" t="s">
        <v>249</v>
      </c>
      <c r="B5" s="2" t="s">
        <v>250</v>
      </c>
    </row>
    <row r="6" spans="1:2">
      <c r="A6" s="2" t="s">
        <v>251</v>
      </c>
      <c r="B6" s="2" t="s">
        <v>252</v>
      </c>
    </row>
    <row r="7" spans="1:2">
      <c r="A7" s="2" t="s">
        <v>253</v>
      </c>
      <c r="B7" s="2" t="s">
        <v>254</v>
      </c>
    </row>
    <row r="8" spans="1:2">
      <c r="A8" s="2" t="s">
        <v>255</v>
      </c>
      <c r="B8" s="2" t="s">
        <v>256</v>
      </c>
    </row>
    <row r="9" spans="1:2">
      <c r="A9" s="2" t="s">
        <v>257</v>
      </c>
      <c r="B9" s="2" t="s">
        <v>258</v>
      </c>
    </row>
    <row r="10" spans="1:2">
      <c r="A10" s="2" t="s">
        <v>259</v>
      </c>
      <c r="B10" s="2" t="s">
        <v>260</v>
      </c>
    </row>
    <row r="11" spans="1:2">
      <c r="A11" s="2"/>
      <c r="B11" s="2"/>
    </row>
    <row r="12" spans="1:2">
      <c r="A12" s="2"/>
      <c r="B12" s="2"/>
    </row>
    <row r="13" spans="1:2">
      <c r="A13" s="4"/>
      <c r="B13" s="4"/>
    </row>
    <row r="14" spans="1:2">
      <c r="A14" s="2"/>
      <c r="B14" s="2"/>
    </row>
    <row r="15" spans="1:2">
      <c r="A15" s="2"/>
      <c r="B15" s="2"/>
    </row>
    <row r="16" spans="1:2">
      <c r="A16" s="2"/>
      <c r="B16" s="2"/>
    </row>
    <row r="17" spans="1:2">
      <c r="A17" s="2"/>
      <c r="B17" s="2"/>
    </row>
    <row r="18" spans="1:2">
      <c r="A18" s="4"/>
      <c r="B18" s="4"/>
    </row>
  </sheetData>
  <sheetProtection algorithmName="SHA-512" hashValue="A3gfR6n16jfLSKmhrDKpAQ5ysefN5bT0CjJ59TQnuOcilDY4Cho7A9Si+ye43TEWSUwdgSHcK4/0SRwmB4aRVQ==" saltValue="aJt4UggcS+JqB9aL79yo7g==" spinCount="100000" sheet="1" objects="1" scenarios="1" formatColumns="0" formatRows="0" autoFilter="0"/>
  <mergeCells count="2">
    <mergeCell ref="A1:B1"/>
    <mergeCell ref="A2:B2"/>
  </mergeCells>
  <pageMargins left="0.7" right="0.7" top="0.75" bottom="0.75" header="0.3" footer="0.3"/>
  <pageSetup orientation="portrait" r:id="rId1"/>
  <legacy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EC4DE-CFAC-4AC1-B8CE-392223C65CDD}">
  <sheetPr codeName="Sheet24">
    <tabColor theme="1"/>
  </sheetPr>
  <dimension ref="A1"/>
  <sheetViews>
    <sheetView workbookViewId="0"/>
  </sheetViews>
  <sheetFormatPr defaultRowHeight="15"/>
  <sheetData/>
  <sheetProtection algorithmName="SHA-512" hashValue="KBDLyZKoNoqtqUNq/CRUpZExwUBId7Qi+jGwBOcgPYXqzectMA9sAnLlrWFAxOjgTtXJoztBZBMSXrQvkoVbkg==" saltValue="jLK0ef4xS2b4OnIM2I+DfQ==" spinCount="100000" sheet="1" objects="1" scenarios="1" formatColumns="0" formatRows="0" autoFilter="0"/>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AD21D-908D-4150-A0CD-7E4B54C568BF}">
  <sheetPr codeName="Sheet17">
    <tabColor theme="1"/>
  </sheetPr>
  <dimension ref="A1:K256"/>
  <sheetViews>
    <sheetView zoomScaleNormal="100" workbookViewId="0"/>
  </sheetViews>
  <sheetFormatPr defaultRowHeight="14.25"/>
  <cols>
    <col min="1" max="1" width="14.5703125" style="176" customWidth="1"/>
    <col min="2" max="2" width="17.5703125" style="176" customWidth="1"/>
    <col min="3" max="3" width="19.85546875" style="176" customWidth="1"/>
    <col min="4" max="4" width="14.5703125" style="176" customWidth="1"/>
    <col min="5" max="5" width="1" style="177" customWidth="1"/>
    <col min="6" max="6" width="18.85546875" style="176" customWidth="1"/>
    <col min="7" max="7" width="9.140625" style="176"/>
    <col min="8" max="9" width="17.5703125" style="176" customWidth="1"/>
    <col min="10" max="10" width="42.42578125" style="176" customWidth="1"/>
    <col min="11" max="11" width="3" style="177" customWidth="1"/>
    <col min="12" max="16384" width="9.140625" style="176"/>
  </cols>
  <sheetData>
    <row r="1" spans="1:10" ht="15" thickBot="1">
      <c r="A1" s="176" t="s">
        <v>841</v>
      </c>
      <c r="B1" s="202" t="s">
        <v>840</v>
      </c>
      <c r="C1" s="176" t="s">
        <v>839</v>
      </c>
      <c r="D1" s="201" t="s">
        <v>838</v>
      </c>
      <c r="F1" s="201" t="s">
        <v>837</v>
      </c>
    </row>
    <row r="2" spans="1:10" ht="45.75" thickBot="1">
      <c r="A2" s="200" t="s">
        <v>836</v>
      </c>
      <c r="B2" s="199" t="s">
        <v>835</v>
      </c>
      <c r="C2" s="196" t="s">
        <v>834</v>
      </c>
      <c r="D2" s="195" t="s">
        <v>833</v>
      </c>
      <c r="E2" s="198"/>
      <c r="F2" s="197" t="s">
        <v>832</v>
      </c>
      <c r="G2" s="196" t="s">
        <v>831</v>
      </c>
      <c r="H2" s="196" t="s">
        <v>830</v>
      </c>
      <c r="I2" s="196" t="s">
        <v>829</v>
      </c>
      <c r="J2" s="195" t="s">
        <v>828</v>
      </c>
    </row>
    <row r="3" spans="1:10" ht="18.75">
      <c r="A3" s="191" t="s">
        <v>827</v>
      </c>
      <c r="B3" s="179">
        <v>100</v>
      </c>
      <c r="C3" s="179">
        <v>249</v>
      </c>
      <c r="D3" s="178">
        <v>249</v>
      </c>
      <c r="F3" s="183" t="s">
        <v>827</v>
      </c>
      <c r="G3" s="179" t="s">
        <v>776</v>
      </c>
      <c r="H3" s="179"/>
      <c r="I3" s="176" t="s">
        <v>40</v>
      </c>
      <c r="J3" s="192" t="s">
        <v>826</v>
      </c>
    </row>
    <row r="4" spans="1:10">
      <c r="A4" s="191" t="s">
        <v>825</v>
      </c>
      <c r="B4" s="179">
        <v>100</v>
      </c>
      <c r="C4" s="179">
        <v>249</v>
      </c>
      <c r="D4" s="178">
        <v>249</v>
      </c>
      <c r="F4" s="183" t="s">
        <v>799</v>
      </c>
      <c r="G4" s="179" t="s">
        <v>771</v>
      </c>
      <c r="H4" s="190" t="s">
        <v>813</v>
      </c>
      <c r="I4" s="189"/>
      <c r="J4" s="192" t="s">
        <v>824</v>
      </c>
    </row>
    <row r="5" spans="1:10">
      <c r="A5" s="191" t="s">
        <v>823</v>
      </c>
      <c r="B5" s="179">
        <v>100</v>
      </c>
      <c r="C5" s="179">
        <v>249</v>
      </c>
      <c r="D5" s="178">
        <v>249</v>
      </c>
      <c r="F5" s="183" t="s">
        <v>789</v>
      </c>
      <c r="G5" s="179" t="s">
        <v>771</v>
      </c>
      <c r="H5" s="190" t="s">
        <v>770</v>
      </c>
      <c r="I5" s="189"/>
      <c r="J5" s="192" t="s">
        <v>822</v>
      </c>
    </row>
    <row r="6" spans="1:10" ht="28.5">
      <c r="A6" s="191" t="s">
        <v>821</v>
      </c>
      <c r="B6" s="179">
        <v>100</v>
      </c>
      <c r="C6" s="179">
        <v>249</v>
      </c>
      <c r="D6" s="178">
        <v>249</v>
      </c>
      <c r="F6" s="183" t="s">
        <v>760</v>
      </c>
      <c r="G6" s="179" t="s">
        <v>771</v>
      </c>
      <c r="H6" s="190" t="s">
        <v>770</v>
      </c>
      <c r="I6" s="189"/>
      <c r="J6" s="192" t="s">
        <v>820</v>
      </c>
    </row>
    <row r="7" spans="1:10">
      <c r="A7" s="191" t="s">
        <v>819</v>
      </c>
      <c r="B7" s="179">
        <v>100</v>
      </c>
      <c r="C7" s="179">
        <v>249</v>
      </c>
      <c r="D7" s="178">
        <v>249</v>
      </c>
      <c r="F7" s="183" t="s">
        <v>754</v>
      </c>
      <c r="G7" s="179" t="s">
        <v>771</v>
      </c>
      <c r="H7" s="190" t="s">
        <v>770</v>
      </c>
      <c r="I7" s="179"/>
      <c r="J7" s="192" t="s">
        <v>818</v>
      </c>
    </row>
    <row r="8" spans="1:10">
      <c r="A8" s="191" t="s">
        <v>817</v>
      </c>
      <c r="B8" s="179">
        <v>100</v>
      </c>
      <c r="C8" s="179">
        <v>249</v>
      </c>
      <c r="D8" s="178">
        <v>249</v>
      </c>
      <c r="F8" s="183" t="s">
        <v>740</v>
      </c>
      <c r="G8" s="179" t="s">
        <v>771</v>
      </c>
      <c r="H8" s="190" t="s">
        <v>770</v>
      </c>
      <c r="I8" s="189"/>
      <c r="J8" s="192" t="s">
        <v>816</v>
      </c>
    </row>
    <row r="9" spans="1:10" ht="28.5">
      <c r="A9" s="191" t="s">
        <v>815</v>
      </c>
      <c r="B9" s="179">
        <v>100</v>
      </c>
      <c r="C9" s="179">
        <v>249</v>
      </c>
      <c r="D9" s="178">
        <v>249</v>
      </c>
      <c r="F9" s="183" t="s">
        <v>736</v>
      </c>
      <c r="G9" s="179" t="s">
        <v>771</v>
      </c>
      <c r="H9" s="190" t="s">
        <v>770</v>
      </c>
      <c r="I9" s="179"/>
      <c r="J9" s="192" t="s">
        <v>814</v>
      </c>
    </row>
    <row r="10" spans="1:10" ht="30.75">
      <c r="A10" s="191" t="s">
        <v>407</v>
      </c>
      <c r="B10" s="179">
        <v>100</v>
      </c>
      <c r="C10" s="179">
        <v>249</v>
      </c>
      <c r="D10" s="178">
        <v>249</v>
      </c>
      <c r="F10" s="183" t="s">
        <v>726</v>
      </c>
      <c r="G10" s="179" t="s">
        <v>528</v>
      </c>
      <c r="H10" s="194" t="s">
        <v>813</v>
      </c>
      <c r="I10" s="176" t="s">
        <v>40</v>
      </c>
      <c r="J10" s="192" t="s">
        <v>812</v>
      </c>
    </row>
    <row r="11" spans="1:10">
      <c r="A11" s="191" t="s">
        <v>811</v>
      </c>
      <c r="B11" s="179">
        <v>100</v>
      </c>
      <c r="C11" s="179">
        <v>249</v>
      </c>
      <c r="D11" s="178">
        <v>249</v>
      </c>
      <c r="F11" s="183" t="s">
        <v>727</v>
      </c>
      <c r="G11" s="179" t="s">
        <v>771</v>
      </c>
      <c r="H11" s="190" t="s">
        <v>770</v>
      </c>
      <c r="I11" s="179"/>
      <c r="J11" s="192" t="s">
        <v>810</v>
      </c>
    </row>
    <row r="12" spans="1:10">
      <c r="A12" s="191" t="s">
        <v>809</v>
      </c>
      <c r="B12" s="179">
        <v>100</v>
      </c>
      <c r="C12" s="179">
        <v>249</v>
      </c>
      <c r="D12" s="178">
        <v>249</v>
      </c>
      <c r="F12" s="183" t="s">
        <v>718</v>
      </c>
      <c r="G12" s="179" t="s">
        <v>771</v>
      </c>
      <c r="H12" s="190" t="s">
        <v>770</v>
      </c>
      <c r="I12" s="189"/>
      <c r="J12" s="192" t="s">
        <v>808</v>
      </c>
    </row>
    <row r="13" spans="1:10" ht="18.75">
      <c r="A13" s="191" t="s">
        <v>807</v>
      </c>
      <c r="B13" s="179">
        <v>100</v>
      </c>
      <c r="C13" s="179">
        <v>249</v>
      </c>
      <c r="D13" s="178">
        <v>249</v>
      </c>
      <c r="F13" s="183" t="s">
        <v>716</v>
      </c>
      <c r="G13" s="179" t="s">
        <v>776</v>
      </c>
      <c r="H13" s="194"/>
      <c r="I13" s="176" t="s">
        <v>40</v>
      </c>
      <c r="J13" s="192" t="s">
        <v>806</v>
      </c>
    </row>
    <row r="14" spans="1:10">
      <c r="A14" s="191" t="s">
        <v>805</v>
      </c>
      <c r="B14" s="179">
        <v>100</v>
      </c>
      <c r="C14" s="179">
        <v>249</v>
      </c>
      <c r="D14" s="178">
        <v>249</v>
      </c>
      <c r="F14" s="183" t="s">
        <v>713</v>
      </c>
      <c r="G14" s="179" t="s">
        <v>771</v>
      </c>
      <c r="H14" s="190" t="s">
        <v>770</v>
      </c>
      <c r="I14" s="189"/>
      <c r="J14" s="192" t="s">
        <v>804</v>
      </c>
    </row>
    <row r="15" spans="1:10">
      <c r="A15" s="191" t="s">
        <v>803</v>
      </c>
      <c r="B15" s="179">
        <v>100</v>
      </c>
      <c r="C15" s="179">
        <v>249</v>
      </c>
      <c r="D15" s="178">
        <v>249</v>
      </c>
      <c r="F15" s="183" t="s">
        <v>360</v>
      </c>
      <c r="G15" s="179" t="s">
        <v>771</v>
      </c>
      <c r="H15" s="190" t="s">
        <v>770</v>
      </c>
      <c r="I15" s="189"/>
      <c r="J15" s="192" t="s">
        <v>802</v>
      </c>
    </row>
    <row r="16" spans="1:10" ht="18.75">
      <c r="A16" s="191" t="s">
        <v>801</v>
      </c>
      <c r="B16" s="179">
        <v>100</v>
      </c>
      <c r="C16" s="179">
        <v>249</v>
      </c>
      <c r="D16" s="178">
        <v>249</v>
      </c>
      <c r="F16" s="183" t="s">
        <v>684</v>
      </c>
      <c r="G16" s="179" t="s">
        <v>776</v>
      </c>
      <c r="H16" s="193"/>
      <c r="I16" s="176" t="s">
        <v>40</v>
      </c>
      <c r="J16" s="192" t="s">
        <v>800</v>
      </c>
    </row>
    <row r="17" spans="1:10" ht="30.75">
      <c r="A17" s="191" t="s">
        <v>799</v>
      </c>
      <c r="B17" s="179">
        <v>100</v>
      </c>
      <c r="C17" s="179">
        <v>249</v>
      </c>
      <c r="D17" s="178">
        <v>249</v>
      </c>
      <c r="F17" s="183" t="s">
        <v>681</v>
      </c>
      <c r="G17" s="179" t="s">
        <v>776</v>
      </c>
      <c r="H17" s="193"/>
      <c r="I17" s="176" t="s">
        <v>40</v>
      </c>
      <c r="J17" s="192" t="s">
        <v>798</v>
      </c>
    </row>
    <row r="18" spans="1:10">
      <c r="A18" s="191" t="s">
        <v>797</v>
      </c>
      <c r="B18" s="179">
        <v>100</v>
      </c>
      <c r="C18" s="179">
        <v>249</v>
      </c>
      <c r="D18" s="178">
        <v>249</v>
      </c>
      <c r="F18" s="183" t="s">
        <v>672</v>
      </c>
      <c r="G18" s="179" t="s">
        <v>771</v>
      </c>
      <c r="H18" s="190" t="s">
        <v>770</v>
      </c>
      <c r="I18" s="189"/>
      <c r="J18" s="192" t="s">
        <v>796</v>
      </c>
    </row>
    <row r="19" spans="1:10" ht="29.25" customHeight="1">
      <c r="A19" s="191" t="s">
        <v>795</v>
      </c>
      <c r="B19" s="179">
        <v>100</v>
      </c>
      <c r="C19" s="179">
        <v>249</v>
      </c>
      <c r="D19" s="178">
        <v>249</v>
      </c>
      <c r="F19" s="183" t="s">
        <v>669</v>
      </c>
      <c r="G19" s="179" t="s">
        <v>771</v>
      </c>
      <c r="H19" s="190" t="s">
        <v>770</v>
      </c>
      <c r="I19" s="189"/>
      <c r="J19" s="192" t="s">
        <v>794</v>
      </c>
    </row>
    <row r="20" spans="1:10">
      <c r="A20" s="191" t="s">
        <v>793</v>
      </c>
      <c r="B20" s="179">
        <v>100</v>
      </c>
      <c r="C20" s="179">
        <v>249</v>
      </c>
      <c r="D20" s="178">
        <v>249</v>
      </c>
      <c r="F20" s="183" t="s">
        <v>652</v>
      </c>
      <c r="G20" s="179" t="s">
        <v>771</v>
      </c>
      <c r="H20" s="190" t="s">
        <v>770</v>
      </c>
      <c r="I20" s="189"/>
      <c r="J20" s="192" t="s">
        <v>792</v>
      </c>
    </row>
    <row r="21" spans="1:10">
      <c r="A21" s="191" t="s">
        <v>791</v>
      </c>
      <c r="B21" s="179">
        <v>100</v>
      </c>
      <c r="C21" s="179">
        <v>249</v>
      </c>
      <c r="D21" s="178">
        <v>249</v>
      </c>
      <c r="F21" s="183" t="s">
        <v>629</v>
      </c>
      <c r="G21" s="179" t="s">
        <v>771</v>
      </c>
      <c r="H21" s="190" t="s">
        <v>770</v>
      </c>
      <c r="I21" s="189"/>
      <c r="J21" s="192" t="s">
        <v>790</v>
      </c>
    </row>
    <row r="22" spans="1:10" ht="18.75">
      <c r="A22" s="191" t="s">
        <v>789</v>
      </c>
      <c r="B22" s="179">
        <v>100</v>
      </c>
      <c r="C22" s="179">
        <v>50</v>
      </c>
      <c r="D22" s="178">
        <v>249</v>
      </c>
      <c r="F22" s="183" t="s">
        <v>616</v>
      </c>
      <c r="G22" s="179" t="s">
        <v>776</v>
      </c>
      <c r="H22" s="194"/>
      <c r="I22" s="176" t="s">
        <v>40</v>
      </c>
      <c r="J22" s="192" t="s">
        <v>788</v>
      </c>
    </row>
    <row r="23" spans="1:10">
      <c r="A23" s="191" t="s">
        <v>787</v>
      </c>
      <c r="B23" s="179">
        <v>100</v>
      </c>
      <c r="C23" s="179">
        <v>249</v>
      </c>
      <c r="D23" s="178">
        <v>249</v>
      </c>
      <c r="F23" s="183" t="s">
        <v>615</v>
      </c>
      <c r="G23" s="179" t="s">
        <v>771</v>
      </c>
      <c r="H23" s="190" t="s">
        <v>770</v>
      </c>
      <c r="I23" s="189"/>
      <c r="J23" s="192" t="s">
        <v>786</v>
      </c>
    </row>
    <row r="24" spans="1:10">
      <c r="A24" s="191" t="s">
        <v>785</v>
      </c>
      <c r="B24" s="179">
        <v>100</v>
      </c>
      <c r="C24" s="179">
        <v>249</v>
      </c>
      <c r="D24" s="178">
        <v>249</v>
      </c>
      <c r="F24" s="183" t="s">
        <v>600</v>
      </c>
      <c r="G24" s="179" t="s">
        <v>771</v>
      </c>
      <c r="H24" s="190" t="s">
        <v>770</v>
      </c>
      <c r="I24" s="189"/>
      <c r="J24" s="192" t="s">
        <v>784</v>
      </c>
    </row>
    <row r="25" spans="1:10" ht="18.75">
      <c r="A25" s="191" t="s">
        <v>783</v>
      </c>
      <c r="B25" s="179">
        <v>100</v>
      </c>
      <c r="C25" s="179">
        <v>249</v>
      </c>
      <c r="D25" s="178">
        <v>249</v>
      </c>
      <c r="F25" s="183" t="s">
        <v>598</v>
      </c>
      <c r="G25" s="179" t="s">
        <v>776</v>
      </c>
      <c r="H25" s="194"/>
      <c r="I25" s="176" t="s">
        <v>40</v>
      </c>
      <c r="J25" s="192" t="s">
        <v>782</v>
      </c>
    </row>
    <row r="26" spans="1:10">
      <c r="A26" s="191" t="s">
        <v>781</v>
      </c>
      <c r="B26" s="179">
        <v>100</v>
      </c>
      <c r="C26" s="179">
        <v>249</v>
      </c>
      <c r="D26" s="178">
        <v>249</v>
      </c>
      <c r="F26" s="183" t="s">
        <v>579</v>
      </c>
      <c r="G26" s="179" t="s">
        <v>771</v>
      </c>
      <c r="H26" s="190" t="s">
        <v>770</v>
      </c>
      <c r="I26" s="189"/>
      <c r="J26" s="192" t="s">
        <v>780</v>
      </c>
    </row>
    <row r="27" spans="1:10" ht="18.75">
      <c r="A27" s="191" t="s">
        <v>779</v>
      </c>
      <c r="B27" s="179">
        <v>100</v>
      </c>
      <c r="C27" s="179">
        <v>249</v>
      </c>
      <c r="D27" s="178">
        <v>249</v>
      </c>
      <c r="F27" s="183" t="s">
        <v>574</v>
      </c>
      <c r="G27" s="179" t="s">
        <v>776</v>
      </c>
      <c r="H27" s="194"/>
      <c r="I27" s="176" t="s">
        <v>40</v>
      </c>
      <c r="J27" s="192" t="s">
        <v>778</v>
      </c>
    </row>
    <row r="28" spans="1:10" ht="18.75">
      <c r="A28" s="191" t="s">
        <v>777</v>
      </c>
      <c r="B28" s="179">
        <v>100</v>
      </c>
      <c r="C28" s="179">
        <v>249</v>
      </c>
      <c r="D28" s="178">
        <v>249</v>
      </c>
      <c r="F28" s="183" t="s">
        <v>624</v>
      </c>
      <c r="G28" s="179" t="s">
        <v>776</v>
      </c>
      <c r="H28" s="193"/>
      <c r="I28" s="176" t="s">
        <v>40</v>
      </c>
      <c r="J28" s="192" t="s">
        <v>775</v>
      </c>
    </row>
    <row r="29" spans="1:10">
      <c r="A29" s="191" t="s">
        <v>774</v>
      </c>
      <c r="B29" s="179">
        <v>100</v>
      </c>
      <c r="C29" s="179">
        <v>249</v>
      </c>
      <c r="D29" s="178">
        <v>249</v>
      </c>
      <c r="F29" s="183" t="s">
        <v>562</v>
      </c>
      <c r="G29" s="179" t="s">
        <v>771</v>
      </c>
      <c r="H29" s="190" t="s">
        <v>770</v>
      </c>
      <c r="I29" s="189"/>
      <c r="J29" s="192" t="s">
        <v>773</v>
      </c>
    </row>
    <row r="30" spans="1:10">
      <c r="A30" s="191" t="s">
        <v>772</v>
      </c>
      <c r="B30" s="179">
        <v>100</v>
      </c>
      <c r="C30" s="179">
        <v>249</v>
      </c>
      <c r="D30" s="178">
        <v>249</v>
      </c>
      <c r="F30" s="183" t="s">
        <v>550</v>
      </c>
      <c r="G30" s="179" t="s">
        <v>771</v>
      </c>
      <c r="H30" s="190" t="s">
        <v>770</v>
      </c>
      <c r="I30" s="189"/>
      <c r="J30" s="187"/>
    </row>
    <row r="31" spans="1:10">
      <c r="A31" s="180" t="s">
        <v>769</v>
      </c>
      <c r="B31" s="179">
        <v>100</v>
      </c>
      <c r="C31" s="179">
        <v>249</v>
      </c>
      <c r="D31" s="178">
        <v>249</v>
      </c>
      <c r="F31" s="188"/>
      <c r="J31" s="187"/>
    </row>
    <row r="32" spans="1:10">
      <c r="A32" s="180" t="s">
        <v>768</v>
      </c>
      <c r="B32" s="179">
        <v>100</v>
      </c>
      <c r="C32" s="179">
        <v>249</v>
      </c>
      <c r="D32" s="178">
        <v>249</v>
      </c>
      <c r="F32" s="188"/>
      <c r="J32" s="187"/>
    </row>
    <row r="33" spans="1:10">
      <c r="A33" s="180" t="s">
        <v>767</v>
      </c>
      <c r="B33" s="179">
        <v>100</v>
      </c>
      <c r="C33" s="179">
        <v>249</v>
      </c>
      <c r="D33" s="178">
        <v>249</v>
      </c>
      <c r="F33" s="188"/>
      <c r="J33" s="187"/>
    </row>
    <row r="34" spans="1:10" ht="15" thickBot="1">
      <c r="A34" s="180" t="s">
        <v>766</v>
      </c>
      <c r="B34" s="179">
        <v>100</v>
      </c>
      <c r="C34" s="179">
        <v>249</v>
      </c>
      <c r="D34" s="178">
        <v>249</v>
      </c>
      <c r="F34" s="186"/>
      <c r="G34" s="185"/>
      <c r="H34" s="185"/>
      <c r="I34" s="185"/>
      <c r="J34" s="184"/>
    </row>
    <row r="35" spans="1:10">
      <c r="A35" s="180" t="s">
        <v>765</v>
      </c>
      <c r="B35" s="179">
        <v>100</v>
      </c>
      <c r="C35" s="179">
        <v>249</v>
      </c>
      <c r="D35" s="178">
        <v>249</v>
      </c>
      <c r="F35" s="183" t="s">
        <v>764</v>
      </c>
      <c r="G35" s="179"/>
    </row>
    <row r="36" spans="1:10">
      <c r="A36" s="180" t="s">
        <v>763</v>
      </c>
      <c r="B36" s="179">
        <v>100</v>
      </c>
      <c r="C36" s="179">
        <v>249</v>
      </c>
      <c r="D36" s="178">
        <v>249</v>
      </c>
      <c r="F36" s="181" t="s">
        <v>32</v>
      </c>
      <c r="G36" s="182" t="e">
        <f>IF('General Information'!#REF!="","",'General Information'!#REF!)</f>
        <v>#REF!</v>
      </c>
    </row>
    <row r="37" spans="1:10">
      <c r="A37" s="180" t="s">
        <v>762</v>
      </c>
      <c r="B37" s="179">
        <v>100</v>
      </c>
      <c r="C37" s="179">
        <v>249</v>
      </c>
      <c r="D37" s="178">
        <v>249</v>
      </c>
      <c r="F37" s="181" t="s">
        <v>761</v>
      </c>
      <c r="G37" s="181" t="str">
        <f>IFERROR(VLOOKUP(G36,'Ref-FedAppl'!F3:H30,2,FALSE),"No")</f>
        <v>No</v>
      </c>
    </row>
    <row r="38" spans="1:10">
      <c r="A38" s="180" t="s">
        <v>760</v>
      </c>
      <c r="B38" s="179">
        <v>100</v>
      </c>
      <c r="C38" s="179">
        <v>50</v>
      </c>
      <c r="D38" s="178">
        <v>249</v>
      </c>
    </row>
    <row r="39" spans="1:10">
      <c r="A39" s="180" t="s">
        <v>759</v>
      </c>
      <c r="B39" s="179">
        <v>100</v>
      </c>
      <c r="C39" s="179">
        <v>249</v>
      </c>
      <c r="D39" s="178">
        <v>249</v>
      </c>
    </row>
    <row r="40" spans="1:10">
      <c r="A40" s="180" t="s">
        <v>758</v>
      </c>
      <c r="B40" s="179">
        <v>100</v>
      </c>
      <c r="C40" s="179">
        <v>249</v>
      </c>
      <c r="D40" s="178">
        <v>249</v>
      </c>
    </row>
    <row r="41" spans="1:10">
      <c r="A41" s="180" t="s">
        <v>139</v>
      </c>
      <c r="B41" s="179">
        <v>100</v>
      </c>
      <c r="C41" s="179">
        <v>249</v>
      </c>
      <c r="D41" s="178">
        <v>249</v>
      </c>
    </row>
    <row r="42" spans="1:10">
      <c r="A42" s="180" t="s">
        <v>757</v>
      </c>
      <c r="B42" s="179">
        <v>100</v>
      </c>
      <c r="C42" s="179">
        <v>249</v>
      </c>
      <c r="D42" s="178">
        <v>249</v>
      </c>
    </row>
    <row r="43" spans="1:10">
      <c r="A43" s="180" t="s">
        <v>756</v>
      </c>
      <c r="B43" s="179">
        <v>100</v>
      </c>
      <c r="C43" s="179">
        <v>249</v>
      </c>
      <c r="D43" s="178">
        <v>249</v>
      </c>
    </row>
    <row r="44" spans="1:10">
      <c r="A44" s="180" t="s">
        <v>755</v>
      </c>
      <c r="B44" s="179">
        <v>100</v>
      </c>
      <c r="C44" s="179">
        <v>249</v>
      </c>
      <c r="D44" s="178">
        <v>249</v>
      </c>
    </row>
    <row r="45" spans="1:10">
      <c r="A45" s="180" t="s">
        <v>754</v>
      </c>
      <c r="B45" s="179">
        <v>100</v>
      </c>
      <c r="C45" s="179">
        <v>50</v>
      </c>
      <c r="D45" s="178">
        <v>249</v>
      </c>
    </row>
    <row r="46" spans="1:10">
      <c r="A46" s="180" t="s">
        <v>753</v>
      </c>
      <c r="B46" s="179">
        <v>100</v>
      </c>
      <c r="C46" s="179">
        <v>249</v>
      </c>
      <c r="D46" s="178">
        <v>249</v>
      </c>
    </row>
    <row r="47" spans="1:10">
      <c r="A47" s="180" t="s">
        <v>752</v>
      </c>
      <c r="B47" s="179">
        <v>100</v>
      </c>
      <c r="C47" s="179">
        <v>249</v>
      </c>
      <c r="D47" s="178">
        <v>249</v>
      </c>
    </row>
    <row r="48" spans="1:10">
      <c r="A48" s="180" t="s">
        <v>751</v>
      </c>
      <c r="B48" s="179">
        <v>100</v>
      </c>
      <c r="C48" s="179">
        <v>249</v>
      </c>
      <c r="D48" s="178">
        <v>249</v>
      </c>
    </row>
    <row r="49" spans="1:4">
      <c r="A49" s="180" t="s">
        <v>750</v>
      </c>
      <c r="B49" s="179">
        <v>100</v>
      </c>
      <c r="C49" s="179">
        <v>249</v>
      </c>
      <c r="D49" s="178">
        <v>249</v>
      </c>
    </row>
    <row r="50" spans="1:4">
      <c r="A50" s="180" t="s">
        <v>749</v>
      </c>
      <c r="B50" s="179">
        <v>100</v>
      </c>
      <c r="C50" s="179">
        <v>249</v>
      </c>
      <c r="D50" s="178">
        <v>249</v>
      </c>
    </row>
    <row r="51" spans="1:4">
      <c r="A51" s="180" t="s">
        <v>748</v>
      </c>
      <c r="B51" s="179">
        <v>100</v>
      </c>
      <c r="C51" s="179">
        <v>249</v>
      </c>
      <c r="D51" s="178">
        <v>249</v>
      </c>
    </row>
    <row r="52" spans="1:4">
      <c r="A52" s="180" t="s">
        <v>747</v>
      </c>
      <c r="B52" s="179">
        <v>100</v>
      </c>
      <c r="C52" s="179">
        <v>249</v>
      </c>
      <c r="D52" s="178">
        <v>249</v>
      </c>
    </row>
    <row r="53" spans="1:4">
      <c r="A53" s="180" t="s">
        <v>746</v>
      </c>
      <c r="B53" s="179">
        <v>100</v>
      </c>
      <c r="C53" s="179">
        <v>249</v>
      </c>
      <c r="D53" s="178">
        <v>249</v>
      </c>
    </row>
    <row r="54" spans="1:4">
      <c r="A54" s="180" t="s">
        <v>745</v>
      </c>
      <c r="B54" s="179">
        <v>100</v>
      </c>
      <c r="C54" s="179">
        <v>249</v>
      </c>
      <c r="D54" s="178">
        <v>249</v>
      </c>
    </row>
    <row r="55" spans="1:4">
      <c r="A55" s="180" t="s">
        <v>744</v>
      </c>
      <c r="B55" s="179">
        <v>100</v>
      </c>
      <c r="C55" s="179">
        <v>249</v>
      </c>
      <c r="D55" s="178">
        <v>249</v>
      </c>
    </row>
    <row r="56" spans="1:4">
      <c r="A56" s="180" t="s">
        <v>743</v>
      </c>
      <c r="B56" s="179">
        <v>100</v>
      </c>
      <c r="C56" s="179">
        <v>249</v>
      </c>
      <c r="D56" s="178">
        <v>249</v>
      </c>
    </row>
    <row r="57" spans="1:4">
      <c r="A57" s="180" t="s">
        <v>742</v>
      </c>
      <c r="B57" s="179">
        <v>100</v>
      </c>
      <c r="C57" s="179">
        <v>249</v>
      </c>
      <c r="D57" s="178">
        <v>249</v>
      </c>
    </row>
    <row r="58" spans="1:4">
      <c r="A58" s="180" t="s">
        <v>741</v>
      </c>
      <c r="B58" s="179">
        <v>100</v>
      </c>
      <c r="C58" s="179">
        <v>249</v>
      </c>
      <c r="D58" s="178">
        <v>249</v>
      </c>
    </row>
    <row r="59" spans="1:4">
      <c r="A59" s="180" t="s">
        <v>740</v>
      </c>
      <c r="B59" s="179">
        <v>100</v>
      </c>
      <c r="C59" s="179">
        <v>50</v>
      </c>
      <c r="D59" s="178">
        <v>249</v>
      </c>
    </row>
    <row r="60" spans="1:4">
      <c r="A60" s="180" t="s">
        <v>739</v>
      </c>
      <c r="B60" s="179">
        <v>100</v>
      </c>
      <c r="C60" s="179">
        <v>249</v>
      </c>
      <c r="D60" s="178">
        <v>249</v>
      </c>
    </row>
    <row r="61" spans="1:4">
      <c r="A61" s="180" t="s">
        <v>738</v>
      </c>
      <c r="B61" s="179">
        <v>100</v>
      </c>
      <c r="C61" s="179">
        <v>249</v>
      </c>
      <c r="D61" s="178">
        <v>249</v>
      </c>
    </row>
    <row r="62" spans="1:4">
      <c r="A62" s="180" t="s">
        <v>737</v>
      </c>
      <c r="B62" s="179">
        <v>100</v>
      </c>
      <c r="C62" s="179">
        <v>249</v>
      </c>
      <c r="D62" s="178">
        <v>249</v>
      </c>
    </row>
    <row r="63" spans="1:4">
      <c r="A63" s="180" t="s">
        <v>736</v>
      </c>
      <c r="B63" s="179">
        <v>100</v>
      </c>
      <c r="C63" s="179">
        <v>50</v>
      </c>
      <c r="D63" s="178">
        <v>249</v>
      </c>
    </row>
    <row r="64" spans="1:4">
      <c r="A64" s="180" t="s">
        <v>735</v>
      </c>
      <c r="B64" s="179">
        <v>100</v>
      </c>
      <c r="C64" s="179">
        <v>249</v>
      </c>
      <c r="D64" s="178">
        <v>249</v>
      </c>
    </row>
    <row r="65" spans="1:4">
      <c r="A65" s="180" t="s">
        <v>734</v>
      </c>
      <c r="B65" s="179">
        <v>100</v>
      </c>
      <c r="C65" s="179">
        <v>249</v>
      </c>
      <c r="D65" s="178">
        <v>249</v>
      </c>
    </row>
    <row r="66" spans="1:4">
      <c r="A66" s="180" t="s">
        <v>733</v>
      </c>
      <c r="B66" s="179">
        <v>100</v>
      </c>
      <c r="C66" s="179">
        <v>249</v>
      </c>
      <c r="D66" s="178">
        <v>249</v>
      </c>
    </row>
    <row r="67" spans="1:4">
      <c r="A67" s="180" t="s">
        <v>732</v>
      </c>
      <c r="B67" s="179">
        <v>100</v>
      </c>
      <c r="C67" s="179">
        <v>249</v>
      </c>
      <c r="D67" s="178">
        <v>249</v>
      </c>
    </row>
    <row r="68" spans="1:4">
      <c r="A68" s="180" t="s">
        <v>731</v>
      </c>
      <c r="B68" s="179">
        <v>100</v>
      </c>
      <c r="C68" s="179">
        <v>249</v>
      </c>
      <c r="D68" s="178">
        <v>249</v>
      </c>
    </row>
    <row r="69" spans="1:4">
      <c r="A69" s="180" t="s">
        <v>730</v>
      </c>
      <c r="B69" s="179">
        <v>100</v>
      </c>
      <c r="C69" s="179">
        <v>249</v>
      </c>
      <c r="D69" s="178">
        <v>249</v>
      </c>
    </row>
    <row r="70" spans="1:4">
      <c r="A70" s="180" t="s">
        <v>729</v>
      </c>
      <c r="B70" s="179">
        <v>100</v>
      </c>
      <c r="C70" s="179">
        <v>249</v>
      </c>
      <c r="D70" s="178">
        <v>249</v>
      </c>
    </row>
    <row r="71" spans="1:4">
      <c r="A71" s="180" t="s">
        <v>728</v>
      </c>
      <c r="B71" s="179">
        <v>100</v>
      </c>
      <c r="C71" s="179">
        <v>249</v>
      </c>
      <c r="D71" s="178">
        <v>249</v>
      </c>
    </row>
    <row r="72" spans="1:4">
      <c r="A72" s="180" t="s">
        <v>727</v>
      </c>
      <c r="B72" s="179">
        <v>100</v>
      </c>
      <c r="C72" s="179">
        <v>50</v>
      </c>
      <c r="D72" s="178">
        <v>249</v>
      </c>
    </row>
    <row r="73" spans="1:4">
      <c r="A73" s="180" t="s">
        <v>726</v>
      </c>
      <c r="B73" s="179">
        <v>100</v>
      </c>
      <c r="C73" s="179">
        <v>249</v>
      </c>
      <c r="D73" s="178">
        <v>100</v>
      </c>
    </row>
    <row r="74" spans="1:4">
      <c r="A74" s="180" t="s">
        <v>725</v>
      </c>
      <c r="B74" s="179">
        <v>100</v>
      </c>
      <c r="C74" s="179">
        <v>249</v>
      </c>
      <c r="D74" s="178">
        <v>249</v>
      </c>
    </row>
    <row r="75" spans="1:4">
      <c r="A75" s="180" t="s">
        <v>724</v>
      </c>
      <c r="B75" s="179">
        <v>100</v>
      </c>
      <c r="C75" s="179">
        <v>249</v>
      </c>
      <c r="D75" s="178">
        <v>249</v>
      </c>
    </row>
    <row r="76" spans="1:4">
      <c r="A76" s="180" t="s">
        <v>723</v>
      </c>
      <c r="B76" s="179">
        <v>100</v>
      </c>
      <c r="C76" s="179">
        <v>249</v>
      </c>
      <c r="D76" s="178">
        <v>249</v>
      </c>
    </row>
    <row r="77" spans="1:4">
      <c r="A77" s="180" t="s">
        <v>722</v>
      </c>
      <c r="B77" s="179">
        <v>100</v>
      </c>
      <c r="C77" s="179">
        <v>249</v>
      </c>
      <c r="D77" s="178">
        <v>249</v>
      </c>
    </row>
    <row r="78" spans="1:4">
      <c r="A78" s="180" t="s">
        <v>721</v>
      </c>
      <c r="B78" s="179">
        <v>100</v>
      </c>
      <c r="C78" s="179">
        <v>249</v>
      </c>
      <c r="D78" s="178">
        <v>249</v>
      </c>
    </row>
    <row r="79" spans="1:4">
      <c r="A79" s="180" t="s">
        <v>720</v>
      </c>
      <c r="B79" s="179">
        <v>100</v>
      </c>
      <c r="C79" s="179">
        <v>249</v>
      </c>
      <c r="D79" s="178">
        <v>249</v>
      </c>
    </row>
    <row r="80" spans="1:4">
      <c r="A80" s="180" t="s">
        <v>719</v>
      </c>
      <c r="B80" s="179">
        <v>100</v>
      </c>
      <c r="C80" s="179">
        <v>249</v>
      </c>
      <c r="D80" s="178">
        <v>249</v>
      </c>
    </row>
    <row r="81" spans="1:4">
      <c r="A81" s="180" t="s">
        <v>718</v>
      </c>
      <c r="B81" s="179">
        <v>100</v>
      </c>
      <c r="C81" s="179">
        <v>50</v>
      </c>
      <c r="D81" s="178">
        <v>249</v>
      </c>
    </row>
    <row r="82" spans="1:4">
      <c r="A82" s="180" t="s">
        <v>717</v>
      </c>
      <c r="B82" s="179">
        <v>100</v>
      </c>
      <c r="C82" s="179">
        <v>249</v>
      </c>
      <c r="D82" s="178">
        <v>249</v>
      </c>
    </row>
    <row r="83" spans="1:4">
      <c r="A83" s="180" t="s">
        <v>716</v>
      </c>
      <c r="B83" s="179">
        <v>100</v>
      </c>
      <c r="C83" s="179">
        <v>249</v>
      </c>
      <c r="D83" s="178">
        <v>249</v>
      </c>
    </row>
    <row r="84" spans="1:4">
      <c r="A84" s="180" t="s">
        <v>715</v>
      </c>
      <c r="B84" s="179">
        <v>100</v>
      </c>
      <c r="C84" s="179">
        <v>249</v>
      </c>
      <c r="D84" s="178">
        <v>249</v>
      </c>
    </row>
    <row r="85" spans="1:4">
      <c r="A85" s="180" t="s">
        <v>714</v>
      </c>
      <c r="B85" s="179">
        <v>100</v>
      </c>
      <c r="C85" s="179">
        <v>249</v>
      </c>
      <c r="D85" s="178">
        <v>249</v>
      </c>
    </row>
    <row r="86" spans="1:4">
      <c r="A86" s="180" t="s">
        <v>713</v>
      </c>
      <c r="B86" s="179">
        <v>100</v>
      </c>
      <c r="C86" s="179">
        <v>50</v>
      </c>
      <c r="D86" s="178">
        <v>249</v>
      </c>
    </row>
    <row r="87" spans="1:4">
      <c r="A87" s="180" t="s">
        <v>712</v>
      </c>
      <c r="B87" s="179">
        <v>100</v>
      </c>
      <c r="C87" s="179">
        <v>249</v>
      </c>
      <c r="D87" s="178">
        <v>249</v>
      </c>
    </row>
    <row r="88" spans="1:4">
      <c r="A88" s="180" t="s">
        <v>711</v>
      </c>
      <c r="B88" s="179">
        <v>100</v>
      </c>
      <c r="C88" s="179">
        <v>249</v>
      </c>
      <c r="D88" s="178">
        <v>249</v>
      </c>
    </row>
    <row r="89" spans="1:4">
      <c r="A89" s="180" t="s">
        <v>710</v>
      </c>
      <c r="B89" s="179">
        <v>100</v>
      </c>
      <c r="C89" s="179">
        <v>249</v>
      </c>
      <c r="D89" s="178">
        <v>249</v>
      </c>
    </row>
    <row r="90" spans="1:4">
      <c r="A90" s="180" t="s">
        <v>709</v>
      </c>
      <c r="B90" s="179">
        <v>100</v>
      </c>
      <c r="C90" s="179">
        <v>249</v>
      </c>
      <c r="D90" s="178">
        <v>249</v>
      </c>
    </row>
    <row r="91" spans="1:4">
      <c r="A91" s="180" t="s">
        <v>708</v>
      </c>
      <c r="B91" s="179">
        <v>100</v>
      </c>
      <c r="C91" s="179">
        <v>249</v>
      </c>
      <c r="D91" s="178">
        <v>249</v>
      </c>
    </row>
    <row r="92" spans="1:4">
      <c r="A92" s="180" t="s">
        <v>707</v>
      </c>
      <c r="B92" s="179">
        <v>100</v>
      </c>
      <c r="C92" s="179">
        <v>249</v>
      </c>
      <c r="D92" s="178">
        <v>249</v>
      </c>
    </row>
    <row r="93" spans="1:4">
      <c r="A93" s="180" t="s">
        <v>706</v>
      </c>
      <c r="B93" s="179">
        <v>100</v>
      </c>
      <c r="C93" s="179">
        <v>249</v>
      </c>
      <c r="D93" s="178">
        <v>249</v>
      </c>
    </row>
    <row r="94" spans="1:4">
      <c r="A94" s="180" t="s">
        <v>705</v>
      </c>
      <c r="B94" s="179">
        <v>100</v>
      </c>
      <c r="C94" s="179">
        <v>249</v>
      </c>
      <c r="D94" s="178">
        <v>249</v>
      </c>
    </row>
    <row r="95" spans="1:4">
      <c r="A95" s="180" t="s">
        <v>704</v>
      </c>
      <c r="B95" s="179">
        <v>100</v>
      </c>
      <c r="C95" s="179">
        <v>249</v>
      </c>
      <c r="D95" s="178">
        <v>249</v>
      </c>
    </row>
    <row r="96" spans="1:4">
      <c r="A96" s="180" t="s">
        <v>703</v>
      </c>
      <c r="B96" s="179">
        <v>100</v>
      </c>
      <c r="C96" s="179">
        <v>249</v>
      </c>
      <c r="D96" s="178">
        <v>249</v>
      </c>
    </row>
    <row r="97" spans="1:4">
      <c r="A97" s="180" t="s">
        <v>702</v>
      </c>
      <c r="B97" s="179">
        <v>100</v>
      </c>
      <c r="C97" s="179">
        <v>249</v>
      </c>
      <c r="D97" s="178">
        <v>249</v>
      </c>
    </row>
    <row r="98" spans="1:4">
      <c r="A98" s="180" t="s">
        <v>701</v>
      </c>
      <c r="B98" s="179">
        <v>100</v>
      </c>
      <c r="C98" s="179">
        <v>249</v>
      </c>
      <c r="D98" s="178">
        <v>249</v>
      </c>
    </row>
    <row r="99" spans="1:4">
      <c r="A99" s="180" t="s">
        <v>700</v>
      </c>
      <c r="B99" s="179">
        <v>100</v>
      </c>
      <c r="C99" s="179">
        <v>249</v>
      </c>
      <c r="D99" s="178">
        <v>249</v>
      </c>
    </row>
    <row r="100" spans="1:4">
      <c r="A100" s="180" t="s">
        <v>699</v>
      </c>
      <c r="B100" s="179">
        <v>100</v>
      </c>
      <c r="C100" s="179">
        <v>249</v>
      </c>
      <c r="D100" s="178">
        <v>249</v>
      </c>
    </row>
    <row r="101" spans="1:4">
      <c r="A101" s="180" t="s">
        <v>698</v>
      </c>
      <c r="B101" s="179">
        <v>100</v>
      </c>
      <c r="C101" s="179">
        <v>249</v>
      </c>
      <c r="D101" s="178">
        <v>249</v>
      </c>
    </row>
    <row r="102" spans="1:4">
      <c r="A102" s="180" t="s">
        <v>697</v>
      </c>
      <c r="B102" s="179">
        <v>100</v>
      </c>
      <c r="C102" s="179">
        <v>249</v>
      </c>
      <c r="D102" s="178">
        <v>249</v>
      </c>
    </row>
    <row r="103" spans="1:4">
      <c r="A103" s="180" t="s">
        <v>360</v>
      </c>
      <c r="B103" s="179">
        <v>100</v>
      </c>
      <c r="C103" s="179">
        <v>50</v>
      </c>
      <c r="D103" s="178">
        <v>249</v>
      </c>
    </row>
    <row r="104" spans="1:4">
      <c r="A104" s="180" t="s">
        <v>696</v>
      </c>
      <c r="B104" s="179">
        <v>100</v>
      </c>
      <c r="C104" s="179">
        <v>249</v>
      </c>
      <c r="D104" s="178">
        <v>249</v>
      </c>
    </row>
    <row r="105" spans="1:4">
      <c r="A105" s="180" t="s">
        <v>695</v>
      </c>
      <c r="B105" s="179">
        <v>100</v>
      </c>
      <c r="C105" s="179">
        <v>249</v>
      </c>
      <c r="D105" s="178">
        <v>249</v>
      </c>
    </row>
    <row r="106" spans="1:4">
      <c r="A106" s="180" t="s">
        <v>694</v>
      </c>
      <c r="B106" s="179">
        <v>100</v>
      </c>
      <c r="C106" s="179">
        <v>249</v>
      </c>
      <c r="D106" s="178">
        <v>249</v>
      </c>
    </row>
    <row r="107" spans="1:4">
      <c r="A107" s="180" t="s">
        <v>693</v>
      </c>
      <c r="B107" s="179">
        <v>100</v>
      </c>
      <c r="C107" s="179">
        <v>249</v>
      </c>
      <c r="D107" s="178">
        <v>249</v>
      </c>
    </row>
    <row r="108" spans="1:4">
      <c r="A108" s="180" t="s">
        <v>692</v>
      </c>
      <c r="B108" s="179">
        <v>100</v>
      </c>
      <c r="C108" s="179">
        <v>249</v>
      </c>
      <c r="D108" s="178">
        <v>249</v>
      </c>
    </row>
    <row r="109" spans="1:4">
      <c r="A109" s="180" t="s">
        <v>691</v>
      </c>
      <c r="B109" s="179">
        <v>100</v>
      </c>
      <c r="C109" s="179">
        <v>249</v>
      </c>
      <c r="D109" s="178">
        <v>249</v>
      </c>
    </row>
    <row r="110" spans="1:4">
      <c r="A110" s="180" t="s">
        <v>690</v>
      </c>
      <c r="B110" s="179">
        <v>100</v>
      </c>
      <c r="C110" s="179">
        <v>249</v>
      </c>
      <c r="D110" s="178">
        <v>249</v>
      </c>
    </row>
    <row r="111" spans="1:4">
      <c r="A111" s="180" t="s">
        <v>689</v>
      </c>
      <c r="B111" s="179">
        <v>100</v>
      </c>
      <c r="C111" s="179">
        <v>249</v>
      </c>
      <c r="D111" s="178">
        <v>249</v>
      </c>
    </row>
    <row r="112" spans="1:4">
      <c r="A112" s="180" t="s">
        <v>688</v>
      </c>
      <c r="B112" s="179">
        <v>100</v>
      </c>
      <c r="C112" s="179">
        <v>249</v>
      </c>
      <c r="D112" s="178">
        <v>249</v>
      </c>
    </row>
    <row r="113" spans="1:4">
      <c r="A113" s="180" t="s">
        <v>687</v>
      </c>
      <c r="B113" s="179">
        <v>100</v>
      </c>
      <c r="C113" s="179">
        <v>249</v>
      </c>
      <c r="D113" s="178">
        <v>249</v>
      </c>
    </row>
    <row r="114" spans="1:4">
      <c r="A114" s="180" t="s">
        <v>686</v>
      </c>
      <c r="B114" s="179">
        <v>100</v>
      </c>
      <c r="C114" s="179">
        <v>249</v>
      </c>
      <c r="D114" s="178">
        <v>249</v>
      </c>
    </row>
    <row r="115" spans="1:4">
      <c r="A115" s="180" t="s">
        <v>685</v>
      </c>
      <c r="B115" s="179">
        <v>100</v>
      </c>
      <c r="C115" s="179">
        <v>249</v>
      </c>
      <c r="D115" s="178">
        <v>249</v>
      </c>
    </row>
    <row r="116" spans="1:4">
      <c r="A116" s="180" t="s">
        <v>684</v>
      </c>
      <c r="B116" s="179">
        <v>100</v>
      </c>
      <c r="C116" s="179">
        <v>249</v>
      </c>
      <c r="D116" s="178">
        <v>249</v>
      </c>
    </row>
    <row r="117" spans="1:4">
      <c r="A117" s="180" t="s">
        <v>683</v>
      </c>
      <c r="B117" s="179">
        <v>100</v>
      </c>
      <c r="C117" s="179">
        <v>249</v>
      </c>
      <c r="D117" s="178">
        <v>249</v>
      </c>
    </row>
    <row r="118" spans="1:4">
      <c r="A118" s="180" t="s">
        <v>682</v>
      </c>
      <c r="B118" s="179">
        <v>100</v>
      </c>
      <c r="C118" s="179">
        <v>249</v>
      </c>
      <c r="D118" s="178">
        <v>249</v>
      </c>
    </row>
    <row r="119" spans="1:4">
      <c r="A119" s="180" t="s">
        <v>681</v>
      </c>
      <c r="B119" s="179">
        <v>100</v>
      </c>
      <c r="C119" s="179">
        <v>249</v>
      </c>
      <c r="D119" s="178">
        <v>249</v>
      </c>
    </row>
    <row r="120" spans="1:4">
      <c r="A120" s="180" t="s">
        <v>680</v>
      </c>
      <c r="B120" s="179">
        <v>100</v>
      </c>
      <c r="C120" s="179">
        <v>249</v>
      </c>
      <c r="D120" s="178">
        <v>249</v>
      </c>
    </row>
    <row r="121" spans="1:4">
      <c r="A121" s="180" t="s">
        <v>679</v>
      </c>
      <c r="B121" s="179">
        <v>100</v>
      </c>
      <c r="C121" s="179">
        <v>249</v>
      </c>
      <c r="D121" s="178">
        <v>249</v>
      </c>
    </row>
    <row r="122" spans="1:4">
      <c r="A122" s="180" t="s">
        <v>678</v>
      </c>
      <c r="B122" s="179">
        <v>100</v>
      </c>
      <c r="C122" s="179">
        <v>249</v>
      </c>
      <c r="D122" s="178">
        <v>249</v>
      </c>
    </row>
    <row r="123" spans="1:4">
      <c r="A123" s="180" t="s">
        <v>677</v>
      </c>
      <c r="B123" s="179">
        <v>100</v>
      </c>
      <c r="C123" s="179">
        <v>249</v>
      </c>
      <c r="D123" s="178">
        <v>249</v>
      </c>
    </row>
    <row r="124" spans="1:4">
      <c r="A124" s="180" t="s">
        <v>676</v>
      </c>
      <c r="B124" s="179">
        <v>100</v>
      </c>
      <c r="C124" s="179">
        <v>249</v>
      </c>
      <c r="D124" s="178">
        <v>249</v>
      </c>
    </row>
    <row r="125" spans="1:4">
      <c r="A125" s="180" t="s">
        <v>675</v>
      </c>
      <c r="B125" s="179">
        <v>100</v>
      </c>
      <c r="C125" s="179">
        <v>249</v>
      </c>
      <c r="D125" s="178">
        <v>249</v>
      </c>
    </row>
    <row r="126" spans="1:4">
      <c r="A126" s="180" t="s">
        <v>674</v>
      </c>
      <c r="B126" s="179">
        <v>100</v>
      </c>
      <c r="C126" s="179">
        <v>249</v>
      </c>
      <c r="D126" s="178">
        <v>249</v>
      </c>
    </row>
    <row r="127" spans="1:4">
      <c r="A127" s="180" t="s">
        <v>673</v>
      </c>
      <c r="B127" s="179">
        <v>100</v>
      </c>
      <c r="C127" s="179">
        <v>249</v>
      </c>
      <c r="D127" s="178">
        <v>249</v>
      </c>
    </row>
    <row r="128" spans="1:4">
      <c r="A128" s="180" t="s">
        <v>672</v>
      </c>
      <c r="B128" s="179">
        <v>100</v>
      </c>
      <c r="C128" s="179">
        <v>50</v>
      </c>
      <c r="D128" s="178">
        <v>249</v>
      </c>
    </row>
    <row r="129" spans="1:4">
      <c r="A129" s="180" t="s">
        <v>671</v>
      </c>
      <c r="B129" s="179">
        <v>100</v>
      </c>
      <c r="C129" s="179">
        <v>249</v>
      </c>
      <c r="D129" s="178">
        <v>249</v>
      </c>
    </row>
    <row r="130" spans="1:4">
      <c r="A130" s="180" t="s">
        <v>670</v>
      </c>
      <c r="B130" s="179">
        <v>100</v>
      </c>
      <c r="C130" s="179">
        <v>249</v>
      </c>
      <c r="D130" s="178">
        <v>249</v>
      </c>
    </row>
    <row r="131" spans="1:4">
      <c r="A131" s="180" t="s">
        <v>669</v>
      </c>
      <c r="B131" s="179">
        <v>100</v>
      </c>
      <c r="C131" s="179">
        <v>50</v>
      </c>
      <c r="D131" s="178">
        <v>249</v>
      </c>
    </row>
    <row r="132" spans="1:4">
      <c r="A132" s="180" t="s">
        <v>668</v>
      </c>
      <c r="B132" s="179">
        <v>100</v>
      </c>
      <c r="C132" s="179">
        <v>249</v>
      </c>
      <c r="D132" s="178">
        <v>249</v>
      </c>
    </row>
    <row r="133" spans="1:4">
      <c r="A133" s="180" t="s">
        <v>667</v>
      </c>
      <c r="B133" s="179">
        <v>100</v>
      </c>
      <c r="C133" s="179">
        <v>249</v>
      </c>
      <c r="D133" s="178">
        <v>249</v>
      </c>
    </row>
    <row r="134" spans="1:4">
      <c r="A134" s="180" t="s">
        <v>666</v>
      </c>
      <c r="B134" s="179">
        <v>100</v>
      </c>
      <c r="C134" s="179">
        <v>249</v>
      </c>
      <c r="D134" s="178">
        <v>249</v>
      </c>
    </row>
    <row r="135" spans="1:4">
      <c r="A135" s="180" t="s">
        <v>665</v>
      </c>
      <c r="B135" s="179">
        <v>100</v>
      </c>
      <c r="C135" s="179">
        <v>249</v>
      </c>
      <c r="D135" s="178">
        <v>249</v>
      </c>
    </row>
    <row r="136" spans="1:4">
      <c r="A136" s="180" t="s">
        <v>664</v>
      </c>
      <c r="B136" s="179">
        <v>100</v>
      </c>
      <c r="C136" s="179">
        <v>249</v>
      </c>
      <c r="D136" s="178">
        <v>249</v>
      </c>
    </row>
    <row r="137" spans="1:4">
      <c r="A137" s="180" t="s">
        <v>663</v>
      </c>
      <c r="B137" s="179">
        <v>100</v>
      </c>
      <c r="C137" s="179">
        <v>249</v>
      </c>
      <c r="D137" s="178">
        <v>249</v>
      </c>
    </row>
    <row r="138" spans="1:4">
      <c r="A138" s="180" t="s">
        <v>662</v>
      </c>
      <c r="B138" s="179">
        <v>100</v>
      </c>
      <c r="C138" s="179">
        <v>249</v>
      </c>
      <c r="D138" s="178">
        <v>249</v>
      </c>
    </row>
    <row r="139" spans="1:4">
      <c r="A139" s="180" t="s">
        <v>661</v>
      </c>
      <c r="B139" s="179">
        <v>100</v>
      </c>
      <c r="C139" s="179">
        <v>249</v>
      </c>
      <c r="D139" s="178">
        <v>249</v>
      </c>
    </row>
    <row r="140" spans="1:4">
      <c r="A140" s="180" t="s">
        <v>660</v>
      </c>
      <c r="B140" s="179">
        <v>100</v>
      </c>
      <c r="C140" s="179">
        <v>249</v>
      </c>
      <c r="D140" s="178">
        <v>249</v>
      </c>
    </row>
    <row r="141" spans="1:4">
      <c r="A141" s="180" t="s">
        <v>659</v>
      </c>
      <c r="B141" s="179">
        <v>100</v>
      </c>
      <c r="C141" s="179">
        <v>249</v>
      </c>
      <c r="D141" s="178">
        <v>249</v>
      </c>
    </row>
    <row r="142" spans="1:4">
      <c r="A142" s="180" t="s">
        <v>658</v>
      </c>
      <c r="B142" s="179">
        <v>100</v>
      </c>
      <c r="C142" s="179">
        <v>249</v>
      </c>
      <c r="D142" s="178">
        <v>249</v>
      </c>
    </row>
    <row r="143" spans="1:4">
      <c r="A143" s="180" t="s">
        <v>657</v>
      </c>
      <c r="B143" s="179">
        <v>100</v>
      </c>
      <c r="C143" s="179">
        <v>249</v>
      </c>
      <c r="D143" s="178">
        <v>249</v>
      </c>
    </row>
    <row r="144" spans="1:4">
      <c r="A144" s="180" t="s">
        <v>656</v>
      </c>
      <c r="B144" s="179">
        <v>100</v>
      </c>
      <c r="C144" s="179">
        <v>249</v>
      </c>
      <c r="D144" s="178">
        <v>249</v>
      </c>
    </row>
    <row r="145" spans="1:4">
      <c r="A145" s="180" t="s">
        <v>655</v>
      </c>
      <c r="B145" s="179">
        <v>100</v>
      </c>
      <c r="C145" s="179">
        <v>249</v>
      </c>
      <c r="D145" s="178">
        <v>249</v>
      </c>
    </row>
    <row r="146" spans="1:4">
      <c r="A146" s="180" t="s">
        <v>654</v>
      </c>
      <c r="B146" s="179">
        <v>100</v>
      </c>
      <c r="C146" s="179">
        <v>249</v>
      </c>
      <c r="D146" s="178">
        <v>249</v>
      </c>
    </row>
    <row r="147" spans="1:4">
      <c r="A147" s="180" t="s">
        <v>653</v>
      </c>
      <c r="B147" s="179">
        <v>100</v>
      </c>
      <c r="C147" s="179">
        <v>249</v>
      </c>
      <c r="D147" s="178">
        <v>249</v>
      </c>
    </row>
    <row r="148" spans="1:4">
      <c r="A148" s="180" t="s">
        <v>652</v>
      </c>
      <c r="B148" s="179">
        <v>100</v>
      </c>
      <c r="C148" s="179">
        <v>50</v>
      </c>
      <c r="D148" s="178">
        <v>249</v>
      </c>
    </row>
    <row r="149" spans="1:4">
      <c r="A149" s="180" t="s">
        <v>105</v>
      </c>
      <c r="B149" s="179">
        <v>100</v>
      </c>
      <c r="C149" s="179">
        <v>249</v>
      </c>
      <c r="D149" s="178">
        <v>249</v>
      </c>
    </row>
    <row r="150" spans="1:4">
      <c r="A150" s="180" t="s">
        <v>651</v>
      </c>
      <c r="B150" s="179">
        <v>100</v>
      </c>
      <c r="C150" s="179">
        <v>249</v>
      </c>
      <c r="D150" s="178">
        <v>249</v>
      </c>
    </row>
    <row r="151" spans="1:4">
      <c r="A151" s="180" t="s">
        <v>650</v>
      </c>
      <c r="B151" s="179">
        <v>100</v>
      </c>
      <c r="C151" s="179">
        <v>249</v>
      </c>
      <c r="D151" s="178">
        <v>249</v>
      </c>
    </row>
    <row r="152" spans="1:4">
      <c r="A152" s="180" t="s">
        <v>649</v>
      </c>
      <c r="B152" s="179">
        <v>100</v>
      </c>
      <c r="C152" s="179">
        <v>249</v>
      </c>
      <c r="D152" s="178">
        <v>249</v>
      </c>
    </row>
    <row r="153" spans="1:4">
      <c r="A153" s="180" t="s">
        <v>648</v>
      </c>
      <c r="B153" s="179">
        <v>100</v>
      </c>
      <c r="C153" s="179">
        <v>249</v>
      </c>
      <c r="D153" s="178">
        <v>249</v>
      </c>
    </row>
    <row r="154" spans="1:4">
      <c r="A154" s="180" t="s">
        <v>647</v>
      </c>
      <c r="B154" s="179">
        <v>100</v>
      </c>
      <c r="C154" s="179">
        <v>249</v>
      </c>
      <c r="D154" s="178">
        <v>249</v>
      </c>
    </row>
    <row r="155" spans="1:4">
      <c r="A155" s="180" t="s">
        <v>646</v>
      </c>
      <c r="B155" s="179">
        <v>100</v>
      </c>
      <c r="C155" s="179">
        <v>249</v>
      </c>
      <c r="D155" s="178">
        <v>249</v>
      </c>
    </row>
    <row r="156" spans="1:4">
      <c r="A156" s="180" t="s">
        <v>645</v>
      </c>
      <c r="B156" s="179">
        <v>100</v>
      </c>
      <c r="C156" s="179">
        <v>249</v>
      </c>
      <c r="D156" s="178">
        <v>249</v>
      </c>
    </row>
    <row r="157" spans="1:4">
      <c r="A157" s="180" t="s">
        <v>644</v>
      </c>
      <c r="B157" s="179">
        <v>100</v>
      </c>
      <c r="C157" s="179">
        <v>249</v>
      </c>
      <c r="D157" s="178">
        <v>249</v>
      </c>
    </row>
    <row r="158" spans="1:4">
      <c r="A158" s="180" t="s">
        <v>643</v>
      </c>
      <c r="B158" s="179">
        <v>100</v>
      </c>
      <c r="C158" s="179">
        <v>249</v>
      </c>
      <c r="D158" s="178">
        <v>249</v>
      </c>
    </row>
    <row r="159" spans="1:4">
      <c r="A159" s="180" t="s">
        <v>642</v>
      </c>
      <c r="B159" s="179">
        <v>100</v>
      </c>
      <c r="C159" s="179">
        <v>249</v>
      </c>
      <c r="D159" s="178">
        <v>249</v>
      </c>
    </row>
    <row r="160" spans="1:4">
      <c r="A160" s="180" t="s">
        <v>641</v>
      </c>
      <c r="B160" s="179">
        <v>100</v>
      </c>
      <c r="C160" s="179">
        <v>249</v>
      </c>
      <c r="D160" s="178">
        <v>249</v>
      </c>
    </row>
    <row r="161" spans="1:4">
      <c r="A161" s="180" t="s">
        <v>640</v>
      </c>
      <c r="B161" s="179">
        <v>100</v>
      </c>
      <c r="C161" s="179">
        <v>249</v>
      </c>
      <c r="D161" s="178">
        <v>249</v>
      </c>
    </row>
    <row r="162" spans="1:4">
      <c r="A162" s="180" t="s">
        <v>639</v>
      </c>
      <c r="B162" s="179">
        <v>100</v>
      </c>
      <c r="C162" s="179">
        <v>249</v>
      </c>
      <c r="D162" s="178">
        <v>249</v>
      </c>
    </row>
    <row r="163" spans="1:4">
      <c r="A163" s="180" t="s">
        <v>638</v>
      </c>
      <c r="B163" s="179">
        <v>100</v>
      </c>
      <c r="C163" s="179">
        <v>249</v>
      </c>
      <c r="D163" s="178">
        <v>249</v>
      </c>
    </row>
    <row r="164" spans="1:4">
      <c r="A164" s="180" t="s">
        <v>637</v>
      </c>
      <c r="B164" s="179">
        <v>100</v>
      </c>
      <c r="C164" s="179">
        <v>249</v>
      </c>
      <c r="D164" s="178">
        <v>249</v>
      </c>
    </row>
    <row r="165" spans="1:4">
      <c r="A165" s="180" t="s">
        <v>636</v>
      </c>
      <c r="B165" s="179">
        <v>100</v>
      </c>
      <c r="C165" s="179">
        <v>249</v>
      </c>
      <c r="D165" s="178">
        <v>249</v>
      </c>
    </row>
    <row r="166" spans="1:4">
      <c r="A166" s="180" t="s">
        <v>635</v>
      </c>
      <c r="B166" s="179">
        <v>100</v>
      </c>
      <c r="C166" s="179">
        <v>249</v>
      </c>
      <c r="D166" s="178">
        <v>249</v>
      </c>
    </row>
    <row r="167" spans="1:4">
      <c r="A167" s="180" t="s">
        <v>634</v>
      </c>
      <c r="B167" s="179">
        <v>100</v>
      </c>
      <c r="C167" s="179">
        <v>249</v>
      </c>
      <c r="D167" s="178">
        <v>249</v>
      </c>
    </row>
    <row r="168" spans="1:4">
      <c r="A168" s="180" t="s">
        <v>633</v>
      </c>
      <c r="B168" s="179">
        <v>100</v>
      </c>
      <c r="C168" s="179">
        <v>249</v>
      </c>
      <c r="D168" s="178">
        <v>249</v>
      </c>
    </row>
    <row r="169" spans="1:4">
      <c r="A169" s="180" t="s">
        <v>632</v>
      </c>
      <c r="B169" s="179">
        <v>100</v>
      </c>
      <c r="C169" s="179">
        <v>249</v>
      </c>
      <c r="D169" s="178">
        <v>249</v>
      </c>
    </row>
    <row r="170" spans="1:4">
      <c r="A170" s="180" t="s">
        <v>631</v>
      </c>
      <c r="B170" s="179">
        <v>100</v>
      </c>
      <c r="C170" s="179">
        <v>249</v>
      </c>
      <c r="D170" s="178">
        <v>249</v>
      </c>
    </row>
    <row r="171" spans="1:4">
      <c r="A171" s="180" t="s">
        <v>630</v>
      </c>
      <c r="B171" s="179">
        <v>100</v>
      </c>
      <c r="C171" s="179">
        <v>249</v>
      </c>
      <c r="D171" s="178">
        <v>249</v>
      </c>
    </row>
    <row r="172" spans="1:4">
      <c r="A172" s="180" t="s">
        <v>629</v>
      </c>
      <c r="B172" s="179">
        <v>100</v>
      </c>
      <c r="C172" s="179">
        <v>50</v>
      </c>
      <c r="D172" s="178">
        <v>249</v>
      </c>
    </row>
    <row r="173" spans="1:4">
      <c r="A173" s="180" t="s">
        <v>628</v>
      </c>
      <c r="B173" s="179">
        <v>100</v>
      </c>
      <c r="C173" s="179">
        <v>249</v>
      </c>
      <c r="D173" s="178">
        <v>249</v>
      </c>
    </row>
    <row r="174" spans="1:4">
      <c r="A174" s="180" t="s">
        <v>627</v>
      </c>
      <c r="B174" s="179">
        <v>100</v>
      </c>
      <c r="C174" s="179">
        <v>249</v>
      </c>
      <c r="D174" s="178">
        <v>249</v>
      </c>
    </row>
    <row r="175" spans="1:4">
      <c r="A175" s="180" t="s">
        <v>626</v>
      </c>
      <c r="B175" s="179">
        <v>100</v>
      </c>
      <c r="C175" s="179">
        <v>249</v>
      </c>
      <c r="D175" s="178">
        <v>249</v>
      </c>
    </row>
    <row r="176" spans="1:4">
      <c r="A176" s="180" t="s">
        <v>625</v>
      </c>
      <c r="B176" s="179">
        <v>100</v>
      </c>
      <c r="C176" s="179">
        <v>249</v>
      </c>
      <c r="D176" s="178">
        <v>249</v>
      </c>
    </row>
    <row r="177" spans="1:4">
      <c r="A177" s="180" t="s">
        <v>624</v>
      </c>
      <c r="B177" s="179">
        <v>100</v>
      </c>
      <c r="C177" s="179">
        <v>249</v>
      </c>
      <c r="D177" s="178">
        <v>249</v>
      </c>
    </row>
    <row r="178" spans="1:4">
      <c r="A178" s="180" t="s">
        <v>623</v>
      </c>
      <c r="B178" s="179">
        <v>100</v>
      </c>
      <c r="C178" s="179">
        <v>249</v>
      </c>
      <c r="D178" s="178">
        <v>249</v>
      </c>
    </row>
    <row r="179" spans="1:4">
      <c r="A179" s="180" t="s">
        <v>622</v>
      </c>
      <c r="B179" s="179">
        <v>100</v>
      </c>
      <c r="C179" s="179">
        <v>249</v>
      </c>
      <c r="D179" s="178">
        <v>249</v>
      </c>
    </row>
    <row r="180" spans="1:4">
      <c r="A180" s="180" t="s">
        <v>621</v>
      </c>
      <c r="B180" s="179">
        <v>100</v>
      </c>
      <c r="C180" s="179">
        <v>249</v>
      </c>
      <c r="D180" s="178">
        <v>249</v>
      </c>
    </row>
    <row r="181" spans="1:4">
      <c r="A181" s="180" t="s">
        <v>620</v>
      </c>
      <c r="B181" s="179">
        <v>100</v>
      </c>
      <c r="C181" s="179">
        <v>249</v>
      </c>
      <c r="D181" s="178">
        <v>249</v>
      </c>
    </row>
    <row r="182" spans="1:4">
      <c r="A182" s="180" t="s">
        <v>619</v>
      </c>
      <c r="B182" s="179">
        <v>100</v>
      </c>
      <c r="C182" s="179">
        <v>249</v>
      </c>
      <c r="D182" s="178">
        <v>249</v>
      </c>
    </row>
    <row r="183" spans="1:4">
      <c r="A183" s="180" t="s">
        <v>618</v>
      </c>
      <c r="B183" s="179">
        <v>100</v>
      </c>
      <c r="C183" s="179">
        <v>249</v>
      </c>
      <c r="D183" s="178">
        <v>249</v>
      </c>
    </row>
    <row r="184" spans="1:4">
      <c r="A184" s="180" t="s">
        <v>617</v>
      </c>
      <c r="B184" s="179">
        <v>100</v>
      </c>
      <c r="C184" s="179">
        <v>249</v>
      </c>
      <c r="D184" s="178">
        <v>249</v>
      </c>
    </row>
    <row r="185" spans="1:4">
      <c r="A185" s="180" t="s">
        <v>616</v>
      </c>
      <c r="B185" s="179">
        <v>100</v>
      </c>
      <c r="C185" s="179">
        <v>249</v>
      </c>
      <c r="D185" s="178">
        <v>249</v>
      </c>
    </row>
    <row r="186" spans="1:4">
      <c r="A186" s="180" t="s">
        <v>615</v>
      </c>
      <c r="B186" s="179">
        <v>100</v>
      </c>
      <c r="C186" s="179">
        <v>50</v>
      </c>
      <c r="D186" s="178">
        <v>249</v>
      </c>
    </row>
    <row r="187" spans="1:4">
      <c r="A187" s="180" t="s">
        <v>614</v>
      </c>
      <c r="B187" s="179">
        <v>100</v>
      </c>
      <c r="C187" s="179">
        <v>249</v>
      </c>
      <c r="D187" s="178">
        <v>249</v>
      </c>
    </row>
    <row r="188" spans="1:4">
      <c r="A188" s="180" t="s">
        <v>613</v>
      </c>
      <c r="B188" s="179">
        <v>100</v>
      </c>
      <c r="C188" s="179">
        <v>249</v>
      </c>
      <c r="D188" s="178">
        <v>249</v>
      </c>
    </row>
    <row r="189" spans="1:4">
      <c r="A189" s="180" t="s">
        <v>612</v>
      </c>
      <c r="B189" s="179">
        <v>100</v>
      </c>
      <c r="C189" s="179">
        <v>249</v>
      </c>
      <c r="D189" s="178">
        <v>249</v>
      </c>
    </row>
    <row r="190" spans="1:4">
      <c r="A190" s="180" t="s">
        <v>611</v>
      </c>
      <c r="B190" s="179">
        <v>100</v>
      </c>
      <c r="C190" s="179">
        <v>249</v>
      </c>
      <c r="D190" s="178">
        <v>249</v>
      </c>
    </row>
    <row r="191" spans="1:4">
      <c r="A191" s="180" t="s">
        <v>610</v>
      </c>
      <c r="B191" s="179">
        <v>100</v>
      </c>
      <c r="C191" s="179">
        <v>249</v>
      </c>
      <c r="D191" s="178">
        <v>249</v>
      </c>
    </row>
    <row r="192" spans="1:4">
      <c r="A192" s="180" t="s">
        <v>609</v>
      </c>
      <c r="B192" s="179">
        <v>100</v>
      </c>
      <c r="C192" s="179">
        <v>249</v>
      </c>
      <c r="D192" s="178">
        <v>249</v>
      </c>
    </row>
    <row r="193" spans="1:4">
      <c r="A193" s="180" t="s">
        <v>608</v>
      </c>
      <c r="B193" s="179">
        <v>100</v>
      </c>
      <c r="C193" s="179">
        <v>249</v>
      </c>
      <c r="D193" s="178">
        <v>249</v>
      </c>
    </row>
    <row r="194" spans="1:4">
      <c r="A194" s="180" t="s">
        <v>607</v>
      </c>
      <c r="B194" s="179">
        <v>100</v>
      </c>
      <c r="C194" s="179">
        <v>249</v>
      </c>
      <c r="D194" s="178">
        <v>249</v>
      </c>
    </row>
    <row r="195" spans="1:4">
      <c r="A195" s="180" t="s">
        <v>606</v>
      </c>
      <c r="B195" s="179">
        <v>100</v>
      </c>
      <c r="C195" s="179">
        <v>249</v>
      </c>
      <c r="D195" s="178">
        <v>249</v>
      </c>
    </row>
    <row r="196" spans="1:4">
      <c r="A196" s="180" t="s">
        <v>605</v>
      </c>
      <c r="B196" s="179">
        <v>100</v>
      </c>
      <c r="C196" s="179">
        <v>249</v>
      </c>
      <c r="D196" s="178">
        <v>249</v>
      </c>
    </row>
    <row r="197" spans="1:4">
      <c r="A197" s="180" t="s">
        <v>604</v>
      </c>
      <c r="B197" s="179">
        <v>100</v>
      </c>
      <c r="C197" s="179">
        <v>249</v>
      </c>
      <c r="D197" s="178">
        <v>249</v>
      </c>
    </row>
    <row r="198" spans="1:4">
      <c r="A198" s="180" t="s">
        <v>603</v>
      </c>
      <c r="B198" s="179">
        <v>100</v>
      </c>
      <c r="C198" s="179">
        <v>249</v>
      </c>
      <c r="D198" s="178">
        <v>249</v>
      </c>
    </row>
    <row r="199" spans="1:4">
      <c r="A199" s="180" t="s">
        <v>602</v>
      </c>
      <c r="B199" s="179">
        <v>100</v>
      </c>
      <c r="C199" s="179">
        <v>249</v>
      </c>
      <c r="D199" s="178">
        <v>249</v>
      </c>
    </row>
    <row r="200" spans="1:4">
      <c r="A200" s="180" t="s">
        <v>601</v>
      </c>
      <c r="B200" s="179">
        <v>100</v>
      </c>
      <c r="C200" s="179">
        <v>249</v>
      </c>
      <c r="D200" s="178">
        <v>249</v>
      </c>
    </row>
    <row r="201" spans="1:4">
      <c r="A201" s="180" t="s">
        <v>600</v>
      </c>
      <c r="B201" s="179">
        <v>100</v>
      </c>
      <c r="C201" s="179">
        <v>50</v>
      </c>
      <c r="D201" s="178">
        <v>249</v>
      </c>
    </row>
    <row r="202" spans="1:4">
      <c r="A202" s="180" t="s">
        <v>599</v>
      </c>
      <c r="B202" s="179">
        <v>100</v>
      </c>
      <c r="C202" s="179">
        <v>249</v>
      </c>
      <c r="D202" s="178">
        <v>249</v>
      </c>
    </row>
    <row r="203" spans="1:4">
      <c r="A203" s="180" t="s">
        <v>598</v>
      </c>
      <c r="B203" s="179">
        <v>100</v>
      </c>
      <c r="C203" s="179">
        <v>249</v>
      </c>
      <c r="D203" s="178">
        <v>249</v>
      </c>
    </row>
    <row r="204" spans="1:4">
      <c r="A204" s="180" t="s">
        <v>597</v>
      </c>
      <c r="B204" s="179">
        <v>100</v>
      </c>
      <c r="C204" s="179">
        <v>249</v>
      </c>
      <c r="D204" s="178">
        <v>249</v>
      </c>
    </row>
    <row r="205" spans="1:4">
      <c r="A205" s="180" t="s">
        <v>596</v>
      </c>
      <c r="B205" s="179">
        <v>100</v>
      </c>
      <c r="C205" s="179">
        <v>249</v>
      </c>
      <c r="D205" s="178">
        <v>249</v>
      </c>
    </row>
    <row r="206" spans="1:4">
      <c r="A206" s="180" t="s">
        <v>595</v>
      </c>
      <c r="B206" s="179">
        <v>100</v>
      </c>
      <c r="C206" s="179">
        <v>249</v>
      </c>
      <c r="D206" s="178">
        <v>249</v>
      </c>
    </row>
    <row r="207" spans="1:4">
      <c r="A207" s="180" t="s">
        <v>594</v>
      </c>
      <c r="B207" s="179">
        <v>100</v>
      </c>
      <c r="C207" s="179">
        <v>249</v>
      </c>
      <c r="D207" s="178">
        <v>249</v>
      </c>
    </row>
    <row r="208" spans="1:4">
      <c r="A208" s="180" t="s">
        <v>593</v>
      </c>
      <c r="B208" s="179">
        <v>100</v>
      </c>
      <c r="C208" s="179">
        <v>249</v>
      </c>
      <c r="D208" s="178">
        <v>249</v>
      </c>
    </row>
    <row r="209" spans="1:4">
      <c r="A209" s="180" t="s">
        <v>592</v>
      </c>
      <c r="B209" s="179">
        <v>100</v>
      </c>
      <c r="C209" s="179">
        <v>249</v>
      </c>
      <c r="D209" s="178">
        <v>249</v>
      </c>
    </row>
    <row r="210" spans="1:4">
      <c r="A210" s="180" t="s">
        <v>591</v>
      </c>
      <c r="B210" s="179">
        <v>100</v>
      </c>
      <c r="C210" s="179">
        <v>249</v>
      </c>
      <c r="D210" s="178">
        <v>249</v>
      </c>
    </row>
    <row r="211" spans="1:4">
      <c r="A211" s="180" t="s">
        <v>590</v>
      </c>
      <c r="B211" s="179">
        <v>100</v>
      </c>
      <c r="C211" s="179">
        <v>249</v>
      </c>
      <c r="D211" s="178">
        <v>249</v>
      </c>
    </row>
    <row r="212" spans="1:4">
      <c r="A212" s="180" t="s">
        <v>589</v>
      </c>
      <c r="B212" s="179">
        <v>100</v>
      </c>
      <c r="C212" s="179">
        <v>249</v>
      </c>
      <c r="D212" s="178">
        <v>249</v>
      </c>
    </row>
    <row r="213" spans="1:4">
      <c r="A213" s="180" t="s">
        <v>588</v>
      </c>
      <c r="B213" s="179">
        <v>100</v>
      </c>
      <c r="C213" s="179">
        <v>249</v>
      </c>
      <c r="D213" s="178">
        <v>249</v>
      </c>
    </row>
    <row r="214" spans="1:4">
      <c r="A214" s="180" t="s">
        <v>587</v>
      </c>
      <c r="B214" s="179">
        <v>100</v>
      </c>
      <c r="C214" s="179">
        <v>249</v>
      </c>
      <c r="D214" s="178">
        <v>249</v>
      </c>
    </row>
    <row r="215" spans="1:4">
      <c r="A215" s="180" t="s">
        <v>586</v>
      </c>
      <c r="B215" s="179">
        <v>100</v>
      </c>
      <c r="C215" s="179">
        <v>249</v>
      </c>
      <c r="D215" s="178">
        <v>249</v>
      </c>
    </row>
    <row r="216" spans="1:4">
      <c r="A216" s="180" t="s">
        <v>585</v>
      </c>
      <c r="B216" s="179">
        <v>100</v>
      </c>
      <c r="C216" s="179">
        <v>249</v>
      </c>
      <c r="D216" s="178">
        <v>249</v>
      </c>
    </row>
    <row r="217" spans="1:4">
      <c r="A217" s="180" t="s">
        <v>584</v>
      </c>
      <c r="B217" s="179">
        <v>100</v>
      </c>
      <c r="C217" s="179">
        <v>249</v>
      </c>
      <c r="D217" s="178">
        <v>249</v>
      </c>
    </row>
    <row r="218" spans="1:4">
      <c r="A218" s="180" t="s">
        <v>583</v>
      </c>
      <c r="B218" s="179">
        <v>100</v>
      </c>
      <c r="C218" s="179">
        <v>249</v>
      </c>
      <c r="D218" s="178">
        <v>249</v>
      </c>
    </row>
    <row r="219" spans="1:4">
      <c r="A219" s="180" t="s">
        <v>582</v>
      </c>
      <c r="B219" s="179">
        <v>100</v>
      </c>
      <c r="C219" s="179">
        <v>249</v>
      </c>
      <c r="D219" s="178">
        <v>249</v>
      </c>
    </row>
    <row r="220" spans="1:4">
      <c r="A220" s="180" t="s">
        <v>581</v>
      </c>
      <c r="B220" s="179">
        <v>100</v>
      </c>
      <c r="C220" s="179">
        <v>249</v>
      </c>
      <c r="D220" s="178">
        <v>249</v>
      </c>
    </row>
    <row r="221" spans="1:4">
      <c r="A221" s="180" t="s">
        <v>580</v>
      </c>
      <c r="B221" s="179">
        <v>100</v>
      </c>
      <c r="C221" s="179">
        <v>249</v>
      </c>
      <c r="D221" s="178">
        <v>249</v>
      </c>
    </row>
    <row r="222" spans="1:4">
      <c r="A222" s="180" t="s">
        <v>579</v>
      </c>
      <c r="B222" s="179">
        <v>100</v>
      </c>
      <c r="C222" s="179">
        <v>50</v>
      </c>
      <c r="D222" s="178">
        <v>249</v>
      </c>
    </row>
    <row r="223" spans="1:4">
      <c r="A223" s="180" t="s">
        <v>578</v>
      </c>
      <c r="B223" s="179">
        <v>100</v>
      </c>
      <c r="C223" s="179">
        <v>249</v>
      </c>
      <c r="D223" s="178">
        <v>249</v>
      </c>
    </row>
    <row r="224" spans="1:4">
      <c r="A224" s="180" t="s">
        <v>577</v>
      </c>
      <c r="B224" s="179">
        <v>100</v>
      </c>
      <c r="C224" s="179">
        <v>249</v>
      </c>
      <c r="D224" s="178">
        <v>249</v>
      </c>
    </row>
    <row r="225" spans="1:4">
      <c r="A225" s="180" t="s">
        <v>576</v>
      </c>
      <c r="B225" s="179">
        <v>100</v>
      </c>
      <c r="C225" s="179">
        <v>249</v>
      </c>
      <c r="D225" s="178">
        <v>249</v>
      </c>
    </row>
    <row r="226" spans="1:4">
      <c r="A226" s="180" t="s">
        <v>575</v>
      </c>
      <c r="B226" s="179">
        <v>100</v>
      </c>
      <c r="C226" s="179">
        <v>249</v>
      </c>
      <c r="D226" s="178">
        <v>249</v>
      </c>
    </row>
    <row r="227" spans="1:4">
      <c r="A227" s="180" t="s">
        <v>574</v>
      </c>
      <c r="B227" s="179">
        <v>100</v>
      </c>
      <c r="C227" s="179">
        <v>249</v>
      </c>
      <c r="D227" s="178">
        <v>249</v>
      </c>
    </row>
    <row r="228" spans="1:4">
      <c r="A228" s="180" t="s">
        <v>573</v>
      </c>
      <c r="B228" s="179">
        <v>100</v>
      </c>
      <c r="C228" s="179">
        <v>249</v>
      </c>
      <c r="D228" s="178">
        <v>249</v>
      </c>
    </row>
    <row r="229" spans="1:4">
      <c r="A229" s="180" t="s">
        <v>572</v>
      </c>
      <c r="B229" s="179">
        <v>100</v>
      </c>
      <c r="C229" s="179">
        <v>249</v>
      </c>
      <c r="D229" s="178">
        <v>249</v>
      </c>
    </row>
    <row r="230" spans="1:4">
      <c r="A230" s="180" t="s">
        <v>571</v>
      </c>
      <c r="B230" s="179">
        <v>100</v>
      </c>
      <c r="C230" s="179">
        <v>249</v>
      </c>
      <c r="D230" s="178">
        <v>249</v>
      </c>
    </row>
    <row r="231" spans="1:4">
      <c r="A231" s="180" t="s">
        <v>570</v>
      </c>
      <c r="B231" s="179">
        <v>100</v>
      </c>
      <c r="C231" s="179">
        <v>249</v>
      </c>
      <c r="D231" s="178">
        <v>249</v>
      </c>
    </row>
    <row r="232" spans="1:4">
      <c r="A232" s="180" t="s">
        <v>569</v>
      </c>
      <c r="B232" s="179">
        <v>100</v>
      </c>
      <c r="C232" s="179">
        <v>249</v>
      </c>
      <c r="D232" s="178">
        <v>249</v>
      </c>
    </row>
    <row r="233" spans="1:4">
      <c r="A233" s="180" t="s">
        <v>568</v>
      </c>
      <c r="B233" s="179">
        <v>100</v>
      </c>
      <c r="C233" s="179">
        <v>249</v>
      </c>
      <c r="D233" s="178">
        <v>249</v>
      </c>
    </row>
    <row r="234" spans="1:4">
      <c r="A234" s="180" t="s">
        <v>567</v>
      </c>
      <c r="B234" s="179">
        <v>100</v>
      </c>
      <c r="C234" s="179">
        <v>249</v>
      </c>
      <c r="D234" s="178">
        <v>249</v>
      </c>
    </row>
    <row r="235" spans="1:4">
      <c r="A235" s="180" t="s">
        <v>566</v>
      </c>
      <c r="B235" s="179">
        <v>100</v>
      </c>
      <c r="C235" s="179">
        <v>249</v>
      </c>
      <c r="D235" s="178">
        <v>249</v>
      </c>
    </row>
    <row r="236" spans="1:4">
      <c r="A236" s="180" t="s">
        <v>565</v>
      </c>
      <c r="B236" s="179">
        <v>100</v>
      </c>
      <c r="C236" s="179">
        <v>249</v>
      </c>
      <c r="D236" s="178">
        <v>249</v>
      </c>
    </row>
    <row r="237" spans="1:4">
      <c r="A237" s="180" t="s">
        <v>564</v>
      </c>
      <c r="B237" s="179">
        <v>100</v>
      </c>
      <c r="C237" s="179">
        <v>249</v>
      </c>
      <c r="D237" s="178">
        <v>249</v>
      </c>
    </row>
    <row r="238" spans="1:4">
      <c r="A238" s="180" t="s">
        <v>563</v>
      </c>
      <c r="B238" s="179">
        <v>100</v>
      </c>
      <c r="C238" s="179">
        <v>249</v>
      </c>
      <c r="D238" s="178">
        <v>249</v>
      </c>
    </row>
    <row r="239" spans="1:4">
      <c r="A239" s="180" t="s">
        <v>562</v>
      </c>
      <c r="B239" s="179">
        <v>100</v>
      </c>
      <c r="C239" s="179">
        <v>50</v>
      </c>
      <c r="D239" s="178">
        <v>249</v>
      </c>
    </row>
    <row r="240" spans="1:4">
      <c r="A240" s="180" t="s">
        <v>561</v>
      </c>
      <c r="B240" s="179">
        <v>100</v>
      </c>
      <c r="C240" s="179">
        <v>249</v>
      </c>
      <c r="D240" s="178">
        <v>249</v>
      </c>
    </row>
    <row r="241" spans="1:4">
      <c r="A241" s="180" t="s">
        <v>560</v>
      </c>
      <c r="B241" s="179">
        <v>100</v>
      </c>
      <c r="C241" s="179">
        <v>249</v>
      </c>
      <c r="D241" s="178">
        <v>249</v>
      </c>
    </row>
    <row r="242" spans="1:4">
      <c r="A242" s="180" t="s">
        <v>559</v>
      </c>
      <c r="B242" s="179">
        <v>100</v>
      </c>
      <c r="C242" s="179">
        <v>249</v>
      </c>
      <c r="D242" s="178">
        <v>249</v>
      </c>
    </row>
    <row r="243" spans="1:4">
      <c r="A243" s="180" t="s">
        <v>558</v>
      </c>
      <c r="B243" s="179">
        <v>100</v>
      </c>
      <c r="C243" s="179">
        <v>249</v>
      </c>
      <c r="D243" s="178">
        <v>249</v>
      </c>
    </row>
    <row r="244" spans="1:4">
      <c r="A244" s="180" t="s">
        <v>557</v>
      </c>
      <c r="B244" s="179">
        <v>100</v>
      </c>
      <c r="C244" s="179">
        <v>249</v>
      </c>
      <c r="D244" s="178">
        <v>249</v>
      </c>
    </row>
    <row r="245" spans="1:4">
      <c r="A245" s="180" t="s">
        <v>556</v>
      </c>
      <c r="B245" s="179">
        <v>100</v>
      </c>
      <c r="C245" s="179">
        <v>249</v>
      </c>
      <c r="D245" s="178">
        <v>249</v>
      </c>
    </row>
    <row r="246" spans="1:4">
      <c r="A246" s="180" t="s">
        <v>555</v>
      </c>
      <c r="B246" s="179">
        <v>100</v>
      </c>
      <c r="C246" s="179">
        <v>249</v>
      </c>
      <c r="D246" s="178">
        <v>249</v>
      </c>
    </row>
    <row r="247" spans="1:4">
      <c r="A247" s="180" t="s">
        <v>554</v>
      </c>
      <c r="B247" s="179">
        <v>100</v>
      </c>
      <c r="C247" s="179">
        <v>249</v>
      </c>
      <c r="D247" s="178">
        <v>249</v>
      </c>
    </row>
    <row r="248" spans="1:4">
      <c r="A248" s="180" t="s">
        <v>553</v>
      </c>
      <c r="B248" s="179">
        <v>100</v>
      </c>
      <c r="C248" s="179">
        <v>249</v>
      </c>
      <c r="D248" s="178">
        <v>249</v>
      </c>
    </row>
    <row r="249" spans="1:4">
      <c r="A249" s="180" t="s">
        <v>552</v>
      </c>
      <c r="B249" s="179">
        <v>100</v>
      </c>
      <c r="C249" s="179">
        <v>249</v>
      </c>
      <c r="D249" s="178">
        <v>249</v>
      </c>
    </row>
    <row r="250" spans="1:4">
      <c r="A250" s="180" t="s">
        <v>551</v>
      </c>
      <c r="B250" s="179">
        <v>100</v>
      </c>
      <c r="C250" s="179">
        <v>249</v>
      </c>
      <c r="D250" s="178">
        <v>249</v>
      </c>
    </row>
    <row r="251" spans="1:4">
      <c r="A251" s="180" t="s">
        <v>550</v>
      </c>
      <c r="B251" s="179">
        <v>100</v>
      </c>
      <c r="C251" s="179">
        <v>50</v>
      </c>
      <c r="D251" s="178">
        <v>249</v>
      </c>
    </row>
    <row r="252" spans="1:4">
      <c r="A252" s="180" t="s">
        <v>549</v>
      </c>
      <c r="B252" s="179">
        <v>100</v>
      </c>
      <c r="C252" s="179">
        <v>249</v>
      </c>
      <c r="D252" s="178">
        <v>249</v>
      </c>
    </row>
    <row r="253" spans="1:4">
      <c r="A253" s="180" t="s">
        <v>548</v>
      </c>
      <c r="B253" s="179">
        <v>100</v>
      </c>
      <c r="C253" s="179">
        <v>249</v>
      </c>
      <c r="D253" s="178">
        <v>249</v>
      </c>
    </row>
    <row r="254" spans="1:4">
      <c r="A254" s="180" t="s">
        <v>547</v>
      </c>
      <c r="B254" s="179">
        <v>100</v>
      </c>
      <c r="C254" s="179">
        <v>249</v>
      </c>
      <c r="D254" s="178">
        <v>249</v>
      </c>
    </row>
    <row r="255" spans="1:4">
      <c r="A255" s="180" t="s">
        <v>546</v>
      </c>
      <c r="B255" s="179">
        <v>100</v>
      </c>
      <c r="C255" s="179">
        <v>249</v>
      </c>
      <c r="D255" s="178">
        <v>249</v>
      </c>
    </row>
    <row r="256" spans="1:4">
      <c r="A256" s="180" t="s">
        <v>545</v>
      </c>
      <c r="B256" s="179">
        <v>100</v>
      </c>
      <c r="C256" s="179">
        <v>249</v>
      </c>
      <c r="D256" s="178">
        <v>249</v>
      </c>
    </row>
  </sheetData>
  <sheetProtection algorithmName="SHA-512" hashValue="cqqK8Vc6hLmYjevptFBKhl6VAfYTobxspv+SnAGY2yRS06ChXvHpJbhvPi8k4RZrCCz/sNhFuMA2d6ZQRqvDHQ==" saltValue="B+vXsI0CYe8j9mIkavNomg==" spinCount="100000" sheet="1" objects="1" scenarios="1" formatColumns="0" formatRows="0" autoFilter="0"/>
  <autoFilter ref="F2:J30" xr:uid="{00000000-0001-0000-0500-000000000000}"/>
  <hyperlinks>
    <hyperlink ref="D1" r:id="rId1" xr:uid="{FD28C46B-C6FA-4D6C-B681-9553CAECC96C}"/>
    <hyperlink ref="F1" r:id="rId2" xr:uid="{71A2EFC5-0B80-4B58-8D2F-1805BA2820ED}"/>
  </hyperlinks>
  <pageMargins left="0.7" right="0.7" top="0.75" bottom="0.75" header="0.3" footer="0.3"/>
  <pageSetup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2435A-591D-4F1C-933F-1F4BA659FA9B}">
  <sheetPr codeName="Sheet2">
    <tabColor rgb="FFFFDCDC"/>
  </sheetPr>
  <dimension ref="A1:M37"/>
  <sheetViews>
    <sheetView showGridLines="0" zoomScaleNormal="100" workbookViewId="0">
      <selection sqref="A1:D1"/>
    </sheetView>
  </sheetViews>
  <sheetFormatPr defaultColWidth="0" defaultRowHeight="14.25" zeroHeight="1"/>
  <cols>
    <col min="1" max="1" width="56.7109375" style="131" customWidth="1"/>
    <col min="2" max="2" width="60.7109375" style="131" customWidth="1"/>
    <col min="3" max="3" width="11.5703125" style="131" customWidth="1"/>
    <col min="4" max="4" width="17.5703125" style="131" customWidth="1"/>
    <col min="5" max="5" width="2.7109375" style="131" customWidth="1"/>
    <col min="6" max="6" width="9.140625" style="131" hidden="1" customWidth="1"/>
    <col min="7" max="7" width="0" style="131" hidden="1" customWidth="1"/>
    <col min="8" max="16384" width="9.140625" style="131" hidden="1"/>
  </cols>
  <sheetData>
    <row r="1" spans="1:13" ht="18.75" thickBot="1">
      <c r="A1" s="651" t="s">
        <v>25</v>
      </c>
      <c r="B1" s="652"/>
      <c r="C1" s="653"/>
      <c r="D1" s="654"/>
    </row>
    <row r="2" spans="1:13" ht="74.25" customHeight="1">
      <c r="A2" s="655" t="s">
        <v>1046</v>
      </c>
      <c r="B2" s="656"/>
      <c r="C2" s="657"/>
      <c r="D2" s="658"/>
    </row>
    <row r="3" spans="1:13" ht="15" customHeight="1">
      <c r="A3" s="635" t="s">
        <v>1047</v>
      </c>
      <c r="B3" s="663"/>
      <c r="C3" s="663"/>
      <c r="D3" s="664"/>
      <c r="E3" s="386"/>
      <c r="F3" s="386"/>
      <c r="G3" s="386"/>
      <c r="H3" s="386"/>
      <c r="I3" s="386"/>
      <c r="M3" s="399"/>
    </row>
    <row r="4" spans="1:13" ht="15" customHeight="1">
      <c r="A4" s="665" t="s">
        <v>1096</v>
      </c>
      <c r="B4" s="666"/>
      <c r="C4" s="666"/>
      <c r="D4" s="667"/>
      <c r="M4" s="399"/>
    </row>
    <row r="5" spans="1:13" ht="15" customHeight="1">
      <c r="A5" s="532"/>
      <c r="B5"/>
      <c r="C5"/>
      <c r="D5" s="537"/>
    </row>
    <row r="6" spans="1:13" ht="62.25" customHeight="1" thickBot="1">
      <c r="A6" s="645" t="s">
        <v>1077</v>
      </c>
      <c r="B6" s="646"/>
      <c r="C6" s="646"/>
      <c r="D6" s="647"/>
    </row>
    <row r="7" spans="1:13" ht="15" thickBot="1">
      <c r="A7" s="170" t="s">
        <v>443</v>
      </c>
      <c r="D7" s="170" t="s">
        <v>443</v>
      </c>
    </row>
    <row r="8" spans="1:13" ht="15.75" thickBot="1">
      <c r="A8" s="659" t="s">
        <v>26</v>
      </c>
      <c r="B8" s="660"/>
      <c r="C8" s="653"/>
      <c r="D8" s="654"/>
    </row>
    <row r="9" spans="1:13" ht="30" customHeight="1">
      <c r="A9" s="357" t="s">
        <v>27</v>
      </c>
      <c r="B9" s="358" t="s">
        <v>914</v>
      </c>
      <c r="C9" s="403"/>
      <c r="D9" s="398"/>
    </row>
    <row r="10" spans="1:13">
      <c r="A10" s="359" t="s">
        <v>7</v>
      </c>
      <c r="B10" s="472"/>
      <c r="C10" s="393"/>
      <c r="D10" s="399"/>
    </row>
    <row r="11" spans="1:13">
      <c r="A11" s="359" t="s">
        <v>9</v>
      </c>
      <c r="B11" s="472"/>
      <c r="C11" s="393"/>
      <c r="D11" s="399"/>
    </row>
    <row r="12" spans="1:13">
      <c r="A12" s="359" t="s">
        <v>11</v>
      </c>
      <c r="B12" s="472"/>
      <c r="C12" s="393"/>
      <c r="D12" s="399"/>
    </row>
    <row r="13" spans="1:13">
      <c r="A13" s="359" t="s">
        <v>13</v>
      </c>
      <c r="B13" s="472"/>
      <c r="C13" s="393"/>
      <c r="D13" s="399"/>
    </row>
    <row r="14" spans="1:13">
      <c r="A14" s="359" t="s">
        <v>14</v>
      </c>
      <c r="B14" s="472"/>
      <c r="C14" s="393"/>
      <c r="D14" s="399"/>
    </row>
    <row r="15" spans="1:13">
      <c r="A15" s="359" t="s">
        <v>15</v>
      </c>
      <c r="B15" s="472"/>
      <c r="C15" s="393"/>
      <c r="D15" s="399"/>
    </row>
    <row r="16" spans="1:13">
      <c r="A16" s="359" t="s">
        <v>16</v>
      </c>
      <c r="B16" s="472"/>
      <c r="C16" s="393"/>
      <c r="D16" s="399"/>
    </row>
    <row r="17" spans="1:4" ht="15" thickBot="1">
      <c r="A17" s="360" t="s">
        <v>17</v>
      </c>
      <c r="B17" s="472"/>
      <c r="C17" s="404"/>
      <c r="D17" s="401"/>
    </row>
    <row r="18" spans="1:4" ht="15" thickBot="1">
      <c r="A18" s="360"/>
      <c r="B18" s="606"/>
      <c r="D18" s="170" t="s">
        <v>443</v>
      </c>
    </row>
    <row r="19" spans="1:4" ht="15.75" thickBot="1">
      <c r="A19" s="661" t="s">
        <v>904</v>
      </c>
      <c r="B19" s="662"/>
      <c r="C19" s="653"/>
      <c r="D19" s="654"/>
    </row>
    <row r="20" spans="1:4" ht="15">
      <c r="A20" s="357" t="s">
        <v>28</v>
      </c>
      <c r="B20" s="358" t="s">
        <v>29</v>
      </c>
      <c r="C20" s="403"/>
      <c r="D20" s="398"/>
    </row>
    <row r="21" spans="1:4">
      <c r="A21" s="405" t="s">
        <v>893</v>
      </c>
      <c r="B21" s="406"/>
      <c r="C21" s="393"/>
      <c r="D21" s="399"/>
    </row>
    <row r="22" spans="1:4">
      <c r="A22" s="273" t="s">
        <v>894</v>
      </c>
      <c r="B22" s="402"/>
      <c r="C22" s="393"/>
      <c r="D22" s="399"/>
    </row>
    <row r="23" spans="1:4" ht="70.5" customHeight="1">
      <c r="A23" s="273" t="s">
        <v>1048</v>
      </c>
      <c r="B23" s="406"/>
      <c r="C23" s="407"/>
      <c r="D23" s="399"/>
    </row>
    <row r="24" spans="1:4" ht="70.5" customHeight="1">
      <c r="A24" s="273" t="s">
        <v>1049</v>
      </c>
      <c r="B24" s="254"/>
      <c r="C24" s="407"/>
      <c r="D24" s="399"/>
    </row>
    <row r="25" spans="1:4" ht="85.5">
      <c r="A25" s="273" t="s">
        <v>535</v>
      </c>
      <c r="B25" s="406"/>
      <c r="C25" s="407"/>
      <c r="D25" s="399"/>
    </row>
    <row r="26" spans="1:4">
      <c r="A26" s="273" t="s">
        <v>536</v>
      </c>
      <c r="B26" s="254"/>
      <c r="C26" s="407"/>
      <c r="D26" s="399"/>
    </row>
    <row r="27" spans="1:4" ht="28.5">
      <c r="A27" s="273" t="s">
        <v>1086</v>
      </c>
      <c r="B27" s="254"/>
      <c r="C27" s="407"/>
      <c r="D27" s="399"/>
    </row>
    <row r="28" spans="1:4" ht="28.5">
      <c r="A28" s="273" t="s">
        <v>537</v>
      </c>
      <c r="B28" s="254"/>
      <c r="C28" s="407"/>
      <c r="D28" s="399"/>
    </row>
    <row r="29" spans="1:4">
      <c r="A29" s="275" t="s">
        <v>538</v>
      </c>
      <c r="B29" s="254"/>
      <c r="C29" s="407"/>
      <c r="D29" s="399"/>
    </row>
    <row r="30" spans="1:4" ht="15" thickBot="1">
      <c r="A30" s="388" t="s">
        <v>905</v>
      </c>
      <c r="B30" s="408"/>
      <c r="C30" s="409"/>
      <c r="D30" s="401"/>
    </row>
    <row r="31" spans="1:4" ht="15" thickBot="1">
      <c r="A31" s="235"/>
      <c r="D31" s="170" t="s">
        <v>443</v>
      </c>
    </row>
    <row r="32" spans="1:4" ht="15.75">
      <c r="A32" s="538" t="s">
        <v>896</v>
      </c>
      <c r="B32" s="539"/>
      <c r="C32" s="539"/>
      <c r="D32" s="540"/>
    </row>
    <row r="33" spans="1:4" ht="54" customHeight="1" thickBot="1">
      <c r="A33" s="648"/>
      <c r="B33" s="649"/>
      <c r="C33" s="649"/>
      <c r="D33" s="650"/>
    </row>
    <row r="34" spans="1:4" ht="8.1" customHeight="1"/>
    <row r="35" spans="1:4" ht="17.100000000000001" customHeight="1">
      <c r="A35" s="632" t="str">
        <f>HYPERLINK("#Checklist","End of Sheet. Click here to go to the next sheet.")</f>
        <v>End of Sheet. Click here to go to the next sheet.</v>
      </c>
      <c r="B35" s="644"/>
      <c r="C35" s="644"/>
      <c r="D35" s="644"/>
    </row>
    <row r="36" spans="1:4" ht="8.1" customHeight="1"/>
    <row r="37" spans="1:4"/>
  </sheetData>
  <sheetProtection algorithmName="SHA-512" hashValue="uRKdNhvJHEBRluA+up/PHoBC76Di76NyCN1d2kbqAU5Tq6AQOibZs6dGX6kxWqjLGLGrW7fuj7okI0Qy0OIfdA==" saltValue="QGxVo3t4oK8ix44PZNDqEQ==" spinCount="100000" sheet="1" objects="1" scenarios="1" formatColumns="0" formatRows="0" autoFilter="0"/>
  <mergeCells count="9">
    <mergeCell ref="A35:D35"/>
    <mergeCell ref="A6:D6"/>
    <mergeCell ref="A33:D33"/>
    <mergeCell ref="A1:D1"/>
    <mergeCell ref="A2:D2"/>
    <mergeCell ref="A8:D8"/>
    <mergeCell ref="A19:D19"/>
    <mergeCell ref="A3:D3"/>
    <mergeCell ref="A4:D4"/>
  </mergeCells>
  <conditionalFormatting sqref="A28">
    <cfRule type="expression" dxfId="35" priority="37">
      <formula>$B$16="yes"</formula>
    </cfRule>
  </conditionalFormatting>
  <conditionalFormatting sqref="A29:A31">
    <cfRule type="expression" dxfId="34" priority="36">
      <formula>$B$16="Yes"</formula>
    </cfRule>
  </conditionalFormatting>
  <conditionalFormatting sqref="A8:B9 A10:A18 A30:A31">
    <cfRule type="expression" dxfId="33" priority="29">
      <formula>$B$18="No"</formula>
    </cfRule>
  </conditionalFormatting>
  <conditionalFormatting sqref="A19:B19">
    <cfRule type="expression" dxfId="32" priority="11">
      <formula>$B$18="No"</formula>
    </cfRule>
  </conditionalFormatting>
  <conditionalFormatting sqref="A28:B30">
    <cfRule type="expression" dxfId="31" priority="1">
      <formula>$B$26="yes"</formula>
    </cfRule>
  </conditionalFormatting>
  <conditionalFormatting sqref="A30:B30">
    <cfRule type="expression" dxfId="30" priority="2">
      <formula>$B$29="No"</formula>
    </cfRule>
  </conditionalFormatting>
  <conditionalFormatting sqref="B28">
    <cfRule type="expression" dxfId="29" priority="21">
      <formula>$B$16="yes"</formula>
    </cfRule>
  </conditionalFormatting>
  <conditionalFormatting sqref="B29:B30">
    <cfRule type="expression" dxfId="28" priority="23">
      <formula>$B$16="Yes"</formula>
    </cfRule>
  </conditionalFormatting>
  <conditionalFormatting sqref="B30">
    <cfRule type="expression" dxfId="27" priority="22">
      <formula>$B$18="No"</formula>
    </cfRule>
  </conditionalFormatting>
  <dataValidations count="16">
    <dataValidation allowBlank="1" showErrorMessage="1" promptTitle="Associated NSR Permit Numbers" prompt="Please enter the associated NSR permit(s):" sqref="B8:B9 B30" xr:uid="{BD759F09-A942-49F4-934B-D81646AE8D35}"/>
    <dataValidation type="list" allowBlank="1" showErrorMessage="1" promptTitle="Associated NSR" prompt="Is there an associated NSR case-by-case permit?" sqref="B29" xr:uid="{19795F97-6B86-4DF8-B8E8-E67C8751D5AB}">
      <formula1>"Yes, No"</formula1>
    </dataValidation>
    <dataValidation type="list" allowBlank="1" showErrorMessage="1" promptTitle="Major Source" prompt="Is this located at a federal NSR major source (PSD or NNSR)? " sqref="B28" xr:uid="{FCD465D4-1EE6-4248-BB58-98040474C1FA}">
      <formula1>"Yes, No"</formula1>
    </dataValidation>
    <dataValidation type="list" allowBlank="1" showErrorMessage="1" promptTitle="Site Authorized by PBR?" prompt="Is this site only authorized under Permits by Rule. (yes or no)" sqref="B26:B27" xr:uid="{2F9EFE09-EB93-4D82-9DCB-7D1EFA465E98}">
      <formula1>"Yes, No"</formula1>
    </dataValidation>
    <dataValidation allowBlank="1" showErrorMessage="1" promptTitle="Company Name" prompt="List the legal name of the company,corporation, partnership, or person who is applying for the permit." sqref="B21" xr:uid="{2F97BF2C-88AE-4717-B45F-20E8E4DE23A4}"/>
    <dataValidation type="textLength" allowBlank="1" showErrorMessage="1" promptTitle="General Project Description" prompt="Briefly provide a description of the project that is requested." sqref="B23:B24" xr:uid="{A6440CC9-D250-49BA-B050-FF4BC464D5CA}">
      <formula1>0</formula1>
      <formula2>5000</formula2>
    </dataValidation>
    <dataValidation type="list" allowBlank="1" showErrorMessage="1" promptTitle="Acknowledgement" prompt="User agrees or disagrees to the statement in cell A9.  Acknowledgeing they are sumitting a TCEQ application with any necessary attachements.  The workbook has not been changed except for row heights and inputs. " sqref="B25" xr:uid="{D879B9D6-0711-4199-9A81-E3257EB221AF}">
      <formula1>"I agree"</formula1>
    </dataValidation>
    <dataValidation allowBlank="1" showErrorMessage="1" promptTitle="Supplemental Information" prompt="Note if supplemental information is attached.  Or if applicable, type supplemental information in this section. " sqref="A33:D33" xr:uid="{FC24E5DD-8E6E-45CA-BA04-22CE54E77FCF}"/>
    <dataValidation type="list" allowBlank="1" showErrorMessage="1" promptTitle="Rule Selection" prompt="Enter an &quot;X&quot; to indicate if facilities will be authorized under rule 106.143." sqref="B11" xr:uid="{1E62AF8D-C584-4E44-889A-275C49B513B0}">
      <formula1>"X"</formula1>
    </dataValidation>
    <dataValidation type="list" allowBlank="1" showErrorMessage="1" promptTitle="Rule Selection" prompt="Enter an &quot;X&quot; to indicate if facilities will be authorized under rule 106.141." sqref="B10" xr:uid="{70FDCDD5-82EF-4991-ABDB-82ADDD9FDF6D}">
      <formula1>"X,"</formula1>
    </dataValidation>
    <dataValidation type="list" allowBlank="1" showErrorMessage="1" promptTitle="Rule Selection" prompt="Enter an &quot;X&quot; to indicate if facilities will be authorized under rule 106.144." sqref="B12" xr:uid="{BB5F96DF-A6BE-4054-A1AA-9B668B4577C1}">
      <formula1>"X"</formula1>
    </dataValidation>
    <dataValidation type="list" allowBlank="1" showErrorMessage="1" promptTitle="Rule Selection" prompt="Enter an &quot;X&quot; to indicate if facilities will be authorized under rule 106.145." sqref="B13" xr:uid="{02902A81-7262-4F64-B96D-F22AD811EBCD}">
      <formula1>"X"</formula1>
    </dataValidation>
    <dataValidation type="list" allowBlank="1" showErrorMessage="1" promptTitle="Rule Selection" prompt="Enter an &quot;X&quot; to indicate if facilities will be authorized under rule 106.146." sqref="B14" xr:uid="{84A0282B-A445-4FC0-93A6-7AC573F75EDA}">
      <formula1>"X"</formula1>
    </dataValidation>
    <dataValidation type="list" allowBlank="1" showErrorMessage="1" promptTitle="Rule Selection" prompt="Enter an &quot;X&quot; to indicate if facilities will be authorized under rule 106.148." sqref="B15" xr:uid="{BECC0DD4-6021-4868-9353-2D2E4B8393A7}">
      <formula1>"X"</formula1>
    </dataValidation>
    <dataValidation type="list" allowBlank="1" showErrorMessage="1" promptTitle="Rule Selection" prompt="Enter an &quot;X&quot; to indicate if facilities will be authorized under rule 106.149." sqref="B16" xr:uid="{9F6A876A-E173-4B69-A4B9-BDF25517F0D7}">
      <formula1>"X"</formula1>
    </dataValidation>
    <dataValidation type="list" allowBlank="1" showErrorMessage="1" promptTitle="Rule Selection" prompt="Enter an &quot;X&quot; to indicate if facilities will be authorized under rule 106.150." sqref="B17" xr:uid="{BE07F605-0F25-4416-82DE-93FC9CD6CBE1}">
      <formula1>"X"</formula1>
    </dataValidation>
  </dataValidations>
  <hyperlinks>
    <hyperlink ref="A4" r:id="rId1" xr:uid="{75888D5B-9E3C-47CB-825F-93240030C91B}"/>
  </hyperlinks>
  <pageMargins left="0.7" right="0.7" top="0.75" bottom="0.75" header="0.3" footer="0.3"/>
  <pageSetup orientation="portrait" r:id="rId2"/>
  <tableParts count="2">
    <tablePart r:id="rId3"/>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AE48F-499E-44B6-B32C-360C1C07D6AA}">
  <sheetPr codeName="Sheet20">
    <tabColor theme="1"/>
  </sheetPr>
  <dimension ref="A1:I26"/>
  <sheetViews>
    <sheetView workbookViewId="0">
      <selection sqref="A1:I1"/>
    </sheetView>
  </sheetViews>
  <sheetFormatPr defaultRowHeight="15"/>
  <cols>
    <col min="1" max="1" width="35.5703125" customWidth="1"/>
    <col min="2" max="9" width="19.85546875" customWidth="1"/>
  </cols>
  <sheetData>
    <row r="1" spans="1:9">
      <c r="A1" s="752" t="s">
        <v>75</v>
      </c>
      <c r="B1" s="752"/>
      <c r="C1" s="752"/>
      <c r="D1" s="752"/>
      <c r="E1" s="752"/>
      <c r="F1" s="752"/>
      <c r="G1" s="752"/>
      <c r="H1" s="752"/>
      <c r="I1" s="752"/>
    </row>
    <row r="2" spans="1:9" ht="30">
      <c r="A2" s="28" t="s">
        <v>76</v>
      </c>
      <c r="B2" s="29" t="s">
        <v>77</v>
      </c>
      <c r="C2" s="28" t="s">
        <v>36</v>
      </c>
      <c r="D2" s="30" t="s">
        <v>78</v>
      </c>
      <c r="E2" s="28" t="s">
        <v>79</v>
      </c>
      <c r="F2" s="28" t="s">
        <v>80</v>
      </c>
      <c r="G2" s="30" t="s">
        <v>81</v>
      </c>
      <c r="H2" s="28" t="s">
        <v>82</v>
      </c>
      <c r="I2" s="28" t="s">
        <v>83</v>
      </c>
    </row>
    <row r="3" spans="1:9">
      <c r="A3" t="s">
        <v>84</v>
      </c>
      <c r="B3">
        <v>9</v>
      </c>
      <c r="C3" t="s">
        <v>85</v>
      </c>
      <c r="D3" s="29">
        <v>13</v>
      </c>
      <c r="E3" t="s">
        <v>86</v>
      </c>
      <c r="F3">
        <v>4.3</v>
      </c>
      <c r="G3" s="29">
        <v>11</v>
      </c>
      <c r="H3" t="s">
        <v>87</v>
      </c>
      <c r="I3">
        <v>2.2000000000000002</v>
      </c>
    </row>
    <row r="4" spans="1:9">
      <c r="A4" s="29" t="s">
        <v>84</v>
      </c>
      <c r="B4" s="29">
        <v>9</v>
      </c>
      <c r="C4" t="s">
        <v>88</v>
      </c>
      <c r="D4" s="29">
        <v>9</v>
      </c>
      <c r="E4" t="s">
        <v>89</v>
      </c>
      <c r="F4">
        <v>9.5</v>
      </c>
      <c r="G4" s="29">
        <v>6</v>
      </c>
      <c r="H4" t="s">
        <v>90</v>
      </c>
      <c r="I4">
        <v>5.4</v>
      </c>
    </row>
    <row r="5" spans="1:9">
      <c r="A5" s="29" t="s">
        <v>84</v>
      </c>
      <c r="B5" s="29">
        <v>9</v>
      </c>
      <c r="C5" t="s">
        <v>91</v>
      </c>
      <c r="D5" s="29">
        <v>12</v>
      </c>
      <c r="E5" t="s">
        <v>92</v>
      </c>
      <c r="F5">
        <v>4.5999999999999996</v>
      </c>
      <c r="G5" s="29">
        <v>11</v>
      </c>
      <c r="H5" t="s">
        <v>93</v>
      </c>
      <c r="I5">
        <v>4.8</v>
      </c>
    </row>
    <row r="6" spans="1:9">
      <c r="A6" s="29" t="s">
        <v>84</v>
      </c>
      <c r="B6" s="29">
        <v>9</v>
      </c>
      <c r="C6" t="s">
        <v>94</v>
      </c>
      <c r="D6" s="29">
        <v>3</v>
      </c>
      <c r="E6" t="s">
        <v>95</v>
      </c>
      <c r="F6">
        <v>5.3</v>
      </c>
      <c r="G6" s="29">
        <v>3</v>
      </c>
      <c r="H6" t="s">
        <v>96</v>
      </c>
      <c r="I6">
        <v>0.92</v>
      </c>
    </row>
    <row r="7" spans="1:9">
      <c r="A7" s="29" t="s">
        <v>84</v>
      </c>
      <c r="B7" s="29">
        <v>9</v>
      </c>
      <c r="C7" t="s">
        <v>97</v>
      </c>
      <c r="D7" s="29">
        <v>3</v>
      </c>
      <c r="E7" t="s">
        <v>98</v>
      </c>
      <c r="F7">
        <v>13</v>
      </c>
      <c r="G7" s="29">
        <v>1</v>
      </c>
      <c r="H7" t="s">
        <v>99</v>
      </c>
      <c r="I7">
        <v>7</v>
      </c>
    </row>
    <row r="8" spans="1:9">
      <c r="A8" s="29" t="s">
        <v>84</v>
      </c>
      <c r="B8" s="29">
        <v>9</v>
      </c>
      <c r="C8" t="s">
        <v>100</v>
      </c>
      <c r="D8" s="29">
        <v>2</v>
      </c>
      <c r="E8" t="s">
        <v>101</v>
      </c>
      <c r="F8">
        <v>4.9000000000000004</v>
      </c>
      <c r="G8" s="29">
        <v>2</v>
      </c>
      <c r="H8" t="s">
        <v>102</v>
      </c>
      <c r="I8">
        <v>7.8</v>
      </c>
    </row>
    <row r="9" spans="1:9">
      <c r="A9" s="29" t="s">
        <v>84</v>
      </c>
      <c r="B9" s="29">
        <v>9</v>
      </c>
      <c r="C9" t="s">
        <v>103</v>
      </c>
      <c r="D9" s="29">
        <v>1</v>
      </c>
      <c r="E9" t="s">
        <v>99</v>
      </c>
      <c r="F9">
        <v>15</v>
      </c>
      <c r="G9" s="29">
        <v>1</v>
      </c>
      <c r="H9" t="s">
        <v>99</v>
      </c>
      <c r="I9">
        <v>6.6</v>
      </c>
    </row>
    <row r="10" spans="1:9">
      <c r="A10" s="29" t="s">
        <v>84</v>
      </c>
      <c r="B10" s="29">
        <v>9</v>
      </c>
      <c r="C10" t="s">
        <v>104</v>
      </c>
      <c r="D10" s="29">
        <v>1</v>
      </c>
      <c r="E10" t="s">
        <v>99</v>
      </c>
      <c r="F10">
        <v>0.7</v>
      </c>
      <c r="G10" s="29">
        <v>0</v>
      </c>
      <c r="H10" t="s">
        <v>99</v>
      </c>
      <c r="I10" t="s">
        <v>99</v>
      </c>
    </row>
    <row r="11" spans="1:9">
      <c r="A11" s="29" t="s">
        <v>84</v>
      </c>
      <c r="B11" s="29">
        <v>9</v>
      </c>
      <c r="C11" t="s">
        <v>105</v>
      </c>
      <c r="D11" s="29">
        <v>3</v>
      </c>
      <c r="E11" t="s">
        <v>106</v>
      </c>
      <c r="F11">
        <v>1</v>
      </c>
      <c r="G11" s="29">
        <v>2</v>
      </c>
      <c r="H11" t="s">
        <v>107</v>
      </c>
      <c r="I11">
        <v>0.2</v>
      </c>
    </row>
    <row r="12" spans="1:9">
      <c r="A12" t="s">
        <v>108</v>
      </c>
      <c r="B12">
        <v>2</v>
      </c>
      <c r="C12" t="s">
        <v>109</v>
      </c>
      <c r="D12" s="29">
        <v>2</v>
      </c>
      <c r="E12" t="s">
        <v>110</v>
      </c>
      <c r="F12">
        <v>1.6</v>
      </c>
      <c r="G12" s="29">
        <v>2</v>
      </c>
      <c r="H12" t="s">
        <v>111</v>
      </c>
      <c r="I12">
        <v>0.7</v>
      </c>
    </row>
    <row r="13" spans="1:9">
      <c r="A13" s="29" t="s">
        <v>108</v>
      </c>
      <c r="B13" s="29">
        <v>2</v>
      </c>
      <c r="C13" t="s">
        <v>112</v>
      </c>
      <c r="D13" s="29">
        <v>8</v>
      </c>
      <c r="E13" t="s">
        <v>113</v>
      </c>
      <c r="F13">
        <v>3.9</v>
      </c>
      <c r="G13" s="29">
        <v>8</v>
      </c>
      <c r="H13" t="s">
        <v>114</v>
      </c>
      <c r="I13">
        <v>2.1</v>
      </c>
    </row>
    <row r="14" spans="1:9">
      <c r="A14" t="s">
        <v>115</v>
      </c>
      <c r="B14">
        <v>1</v>
      </c>
      <c r="C14" t="s">
        <v>116</v>
      </c>
      <c r="D14" s="29">
        <v>9</v>
      </c>
      <c r="E14" t="s">
        <v>117</v>
      </c>
      <c r="F14">
        <v>3.4</v>
      </c>
      <c r="G14" s="29">
        <v>7</v>
      </c>
      <c r="H14" t="s">
        <v>118</v>
      </c>
      <c r="I14">
        <v>0.9</v>
      </c>
    </row>
    <row r="15" spans="1:9">
      <c r="A15" s="29" t="s">
        <v>115</v>
      </c>
      <c r="B15" s="29">
        <v>1</v>
      </c>
      <c r="C15" t="s">
        <v>119</v>
      </c>
      <c r="D15" s="29">
        <v>2</v>
      </c>
      <c r="E15" t="s">
        <v>107</v>
      </c>
      <c r="F15">
        <v>11</v>
      </c>
      <c r="G15" s="29">
        <v>1</v>
      </c>
      <c r="H15" t="s">
        <v>99</v>
      </c>
      <c r="I15">
        <v>0.4</v>
      </c>
    </row>
    <row r="16" spans="1:9">
      <c r="A16" t="s">
        <v>120</v>
      </c>
      <c r="B16">
        <v>4</v>
      </c>
      <c r="C16" t="s">
        <v>91</v>
      </c>
      <c r="D16" s="29">
        <v>15</v>
      </c>
      <c r="E16" t="s">
        <v>121</v>
      </c>
      <c r="F16">
        <v>6.2</v>
      </c>
      <c r="G16" s="29">
        <v>7</v>
      </c>
      <c r="H16" t="s">
        <v>122</v>
      </c>
      <c r="I16">
        <v>6.9</v>
      </c>
    </row>
    <row r="17" spans="1:9">
      <c r="A17" s="29" t="s">
        <v>120</v>
      </c>
      <c r="B17" s="29">
        <v>4</v>
      </c>
      <c r="C17" t="s">
        <v>123</v>
      </c>
      <c r="D17" s="29">
        <v>15</v>
      </c>
      <c r="E17" t="s">
        <v>124</v>
      </c>
      <c r="F17">
        <v>7.5</v>
      </c>
      <c r="G17" s="29">
        <v>0</v>
      </c>
      <c r="H17" t="s">
        <v>99</v>
      </c>
      <c r="I17" t="s">
        <v>99</v>
      </c>
    </row>
    <row r="18" spans="1:9">
      <c r="A18" s="29" t="s">
        <v>120</v>
      </c>
      <c r="B18" s="29">
        <v>4</v>
      </c>
      <c r="C18" t="s">
        <v>125</v>
      </c>
      <c r="D18" s="29">
        <v>3</v>
      </c>
      <c r="E18" t="s">
        <v>126</v>
      </c>
      <c r="F18">
        <v>15</v>
      </c>
      <c r="G18" s="29">
        <v>3</v>
      </c>
      <c r="H18" t="s">
        <v>127</v>
      </c>
      <c r="I18">
        <v>3.4</v>
      </c>
    </row>
    <row r="19" spans="1:9">
      <c r="A19" t="s">
        <v>128</v>
      </c>
      <c r="B19">
        <v>1</v>
      </c>
      <c r="C19" t="s">
        <v>129</v>
      </c>
      <c r="D19" s="29">
        <v>60</v>
      </c>
      <c r="E19" t="s">
        <v>130</v>
      </c>
      <c r="F19">
        <v>2.2000000000000002</v>
      </c>
      <c r="G19" s="29">
        <v>59</v>
      </c>
      <c r="H19" t="s">
        <v>131</v>
      </c>
      <c r="I19">
        <v>4.5</v>
      </c>
    </row>
    <row r="20" spans="1:9">
      <c r="A20" t="s">
        <v>132</v>
      </c>
      <c r="B20">
        <v>4</v>
      </c>
      <c r="C20" t="s">
        <v>37</v>
      </c>
      <c r="D20" s="29">
        <v>1</v>
      </c>
      <c r="E20" t="s">
        <v>99</v>
      </c>
      <c r="F20">
        <v>2.6</v>
      </c>
      <c r="G20" s="29">
        <v>1</v>
      </c>
      <c r="H20" t="s">
        <v>99</v>
      </c>
      <c r="I20">
        <v>7.4</v>
      </c>
    </row>
    <row r="21" spans="1:9">
      <c r="A21" s="29" t="s">
        <v>132</v>
      </c>
      <c r="B21" s="29">
        <v>4</v>
      </c>
      <c r="C21" t="s">
        <v>94</v>
      </c>
      <c r="D21" s="29">
        <v>2</v>
      </c>
      <c r="E21" t="s">
        <v>133</v>
      </c>
      <c r="F21">
        <v>3.8</v>
      </c>
      <c r="G21" s="29">
        <v>2</v>
      </c>
      <c r="H21" t="s">
        <v>134</v>
      </c>
      <c r="I21">
        <v>3.6</v>
      </c>
    </row>
    <row r="22" spans="1:9">
      <c r="A22" s="29" t="s">
        <v>132</v>
      </c>
      <c r="B22" s="29">
        <v>4</v>
      </c>
      <c r="C22" t="s">
        <v>135</v>
      </c>
      <c r="D22" s="29">
        <v>5</v>
      </c>
      <c r="E22" t="s">
        <v>136</v>
      </c>
      <c r="F22">
        <v>9</v>
      </c>
      <c r="G22" s="29">
        <v>5</v>
      </c>
      <c r="H22" t="s">
        <v>137</v>
      </c>
      <c r="I22">
        <v>12</v>
      </c>
    </row>
    <row r="23" spans="1:9">
      <c r="A23" s="29" t="s">
        <v>132</v>
      </c>
      <c r="B23" s="29">
        <v>4</v>
      </c>
      <c r="C23" t="s">
        <v>138</v>
      </c>
      <c r="D23" s="29">
        <v>1</v>
      </c>
      <c r="E23" t="s">
        <v>99</v>
      </c>
      <c r="F23">
        <v>9.1999999999999993</v>
      </c>
      <c r="G23" s="29">
        <v>1</v>
      </c>
      <c r="H23" t="s">
        <v>99</v>
      </c>
      <c r="I23">
        <v>14</v>
      </c>
    </row>
    <row r="24" spans="1:9">
      <c r="A24" s="29" t="s">
        <v>132</v>
      </c>
      <c r="B24" s="29">
        <v>4</v>
      </c>
      <c r="C24" t="s">
        <v>139</v>
      </c>
      <c r="D24" s="29">
        <v>2</v>
      </c>
      <c r="E24" t="s">
        <v>140</v>
      </c>
      <c r="F24">
        <v>6</v>
      </c>
      <c r="G24" s="29">
        <v>2</v>
      </c>
      <c r="H24" t="s">
        <v>141</v>
      </c>
      <c r="I24">
        <v>10</v>
      </c>
    </row>
    <row r="25" spans="1:9">
      <c r="A25" s="29" t="s">
        <v>132</v>
      </c>
      <c r="B25" s="29">
        <v>4</v>
      </c>
      <c r="C25" t="s">
        <v>142</v>
      </c>
      <c r="D25" s="29">
        <v>4</v>
      </c>
      <c r="E25" t="s">
        <v>143</v>
      </c>
      <c r="F25">
        <v>80</v>
      </c>
      <c r="G25" s="29">
        <v>4</v>
      </c>
      <c r="H25" t="s">
        <v>144</v>
      </c>
      <c r="I25">
        <v>27</v>
      </c>
    </row>
    <row r="26" spans="1:9">
      <c r="A26" s="29" t="s">
        <v>132</v>
      </c>
      <c r="B26" s="29">
        <v>4</v>
      </c>
      <c r="C26" t="s">
        <v>145</v>
      </c>
      <c r="D26" s="29">
        <v>1</v>
      </c>
      <c r="E26" t="s">
        <v>99</v>
      </c>
      <c r="F26">
        <v>12</v>
      </c>
      <c r="G26" s="29">
        <v>1</v>
      </c>
      <c r="H26" t="s">
        <v>99</v>
      </c>
      <c r="I26">
        <v>11</v>
      </c>
    </row>
  </sheetData>
  <sheetProtection algorithmName="SHA-512" hashValue="Q/ftPkGBTqXHovabD9Y0YMeyXQ2H6pnJL2PvQsWgV4BaP6ZD/hT39lQmvmm1bvKpOGL8aB9T0sd5lQjJJPjmcg==" saltValue="Mk0i7aYU/Myw18u10SNX/Q==" spinCount="100000" sheet="1" objects="1" scenarios="1" formatColumns="0" formatRows="0" autoFilter="0"/>
  <mergeCells count="1">
    <mergeCell ref="A1:I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D65A1-5E74-4347-96F4-58E49AC27371}">
  <sheetPr codeName="Sheet18">
    <tabColor rgb="FFFFDCDC"/>
  </sheetPr>
  <dimension ref="A1:I97"/>
  <sheetViews>
    <sheetView showGridLines="0" zoomScaleNormal="100" zoomScaleSheetLayoutView="100" workbookViewId="0">
      <selection sqref="A1:C1"/>
    </sheetView>
  </sheetViews>
  <sheetFormatPr defaultColWidth="0" defaultRowHeight="14.25" zeroHeight="1"/>
  <cols>
    <col min="1" max="1" width="9.5703125" style="131" customWidth="1"/>
    <col min="2" max="2" width="73.42578125" style="131" customWidth="1"/>
    <col min="3" max="3" width="29.7109375" style="131" customWidth="1"/>
    <col min="4" max="4" width="2.7109375" style="131" customWidth="1"/>
    <col min="5" max="5" width="2.7109375" style="131" hidden="1" customWidth="1"/>
    <col min="6" max="9" width="9.140625" style="131" hidden="1" customWidth="1"/>
    <col min="10" max="16384" width="0" style="131" hidden="1"/>
  </cols>
  <sheetData>
    <row r="1" spans="1:9" ht="18.75" customHeight="1" thickBot="1">
      <c r="A1" s="678" t="s">
        <v>936</v>
      </c>
      <c r="B1" s="653"/>
      <c r="C1" s="654"/>
      <c r="D1" s="170"/>
      <c r="F1" s="131" t="s">
        <v>913</v>
      </c>
      <c r="G1" s="131" t="s">
        <v>912</v>
      </c>
    </row>
    <row r="2" spans="1:9" ht="30" customHeight="1">
      <c r="A2" s="635" t="s">
        <v>1003</v>
      </c>
      <c r="B2" s="682"/>
      <c r="C2" s="674"/>
    </row>
    <row r="3" spans="1:9" ht="84.95" customHeight="1">
      <c r="A3" s="679" t="s">
        <v>1078</v>
      </c>
      <c r="B3" s="680"/>
      <c r="C3" s="681"/>
      <c r="I3" s="168">
        <v>106.143</v>
      </c>
    </row>
    <row r="4" spans="1:9" ht="20.100000000000001" customHeight="1">
      <c r="A4" s="686" t="s">
        <v>1088</v>
      </c>
      <c r="B4" s="686"/>
      <c r="C4" s="686"/>
      <c r="I4" s="168"/>
    </row>
    <row r="5" spans="1:9" ht="27.95" customHeight="1">
      <c r="A5" s="635" t="s">
        <v>870</v>
      </c>
      <c r="B5" s="682"/>
      <c r="C5" s="674"/>
      <c r="I5" s="168">
        <v>106.14400000000001</v>
      </c>
    </row>
    <row r="6" spans="1:9" ht="18" customHeight="1">
      <c r="A6" s="685" t="s">
        <v>906</v>
      </c>
      <c r="B6" s="682"/>
      <c r="C6" s="674"/>
      <c r="I6" s="168"/>
    </row>
    <row r="7" spans="1:9" ht="30" customHeight="1">
      <c r="A7" s="635" t="s">
        <v>446</v>
      </c>
      <c r="B7" s="682"/>
      <c r="C7" s="674"/>
      <c r="I7" s="168"/>
    </row>
    <row r="8" spans="1:9" ht="15" customHeight="1">
      <c r="A8" s="530"/>
      <c r="B8" s="386"/>
      <c r="C8" s="531"/>
      <c r="I8" s="168"/>
    </row>
    <row r="9" spans="1:9" ht="18" customHeight="1">
      <c r="A9" s="687" t="s">
        <v>33</v>
      </c>
      <c r="B9" s="688"/>
      <c r="C9" s="689"/>
      <c r="I9" s="168"/>
    </row>
    <row r="10" spans="1:9" ht="45" customHeight="1" thickBot="1">
      <c r="A10" s="683" t="s">
        <v>1052</v>
      </c>
      <c r="B10" s="684"/>
      <c r="C10" s="676"/>
      <c r="I10" s="169">
        <v>106.14100000000001</v>
      </c>
    </row>
    <row r="11" spans="1:9" ht="15" thickBot="1">
      <c r="A11" s="369"/>
      <c r="B11" s="475"/>
      <c r="C11" s="475"/>
    </row>
    <row r="12" spans="1:9" ht="15.75" thickBot="1">
      <c r="A12" s="370" t="s">
        <v>27</v>
      </c>
      <c r="B12" s="672" t="s">
        <v>858</v>
      </c>
      <c r="C12" s="641"/>
      <c r="I12" s="170" t="s">
        <v>444</v>
      </c>
    </row>
    <row r="13" spans="1:9">
      <c r="A13" s="371" t="s">
        <v>849</v>
      </c>
      <c r="B13" s="633" t="s">
        <v>850</v>
      </c>
      <c r="C13" s="673"/>
      <c r="I13" s="168"/>
    </row>
    <row r="14" spans="1:9">
      <c r="A14" s="372" t="s">
        <v>848</v>
      </c>
      <c r="B14" s="637" t="s">
        <v>851</v>
      </c>
      <c r="C14" s="674"/>
      <c r="I14" s="168"/>
    </row>
    <row r="15" spans="1:9">
      <c r="A15" s="372" t="s">
        <v>847</v>
      </c>
      <c r="B15" s="637" t="s">
        <v>852</v>
      </c>
      <c r="C15" s="674"/>
      <c r="I15" s="168"/>
    </row>
    <row r="16" spans="1:9">
      <c r="A16" s="372" t="s">
        <v>846</v>
      </c>
      <c r="B16" s="637" t="s">
        <v>853</v>
      </c>
      <c r="C16" s="674"/>
      <c r="I16" s="168"/>
    </row>
    <row r="17" spans="1:9">
      <c r="A17" s="372" t="s">
        <v>845</v>
      </c>
      <c r="B17" s="637" t="s">
        <v>854</v>
      </c>
      <c r="C17" s="674"/>
      <c r="I17" s="168"/>
    </row>
    <row r="18" spans="1:9">
      <c r="A18" s="372" t="s">
        <v>842</v>
      </c>
      <c r="B18" s="637" t="s">
        <v>855</v>
      </c>
      <c r="C18" s="674"/>
      <c r="I18" s="168"/>
    </row>
    <row r="19" spans="1:9">
      <c r="A19" s="372" t="s">
        <v>843</v>
      </c>
      <c r="B19" s="637" t="s">
        <v>856</v>
      </c>
      <c r="C19" s="674"/>
      <c r="I19" s="168"/>
    </row>
    <row r="20" spans="1:9" ht="15" thickBot="1">
      <c r="A20" s="373" t="s">
        <v>844</v>
      </c>
      <c r="B20" s="675" t="s">
        <v>857</v>
      </c>
      <c r="C20" s="676"/>
      <c r="I20" s="168"/>
    </row>
    <row r="21" spans="1:9" ht="15" thickBot="1">
      <c r="A21" s="374" t="s">
        <v>443</v>
      </c>
      <c r="B21" s="386"/>
      <c r="C21" s="386"/>
      <c r="I21" s="168">
        <v>106.145</v>
      </c>
    </row>
    <row r="22" spans="1:9" ht="20.100000000000001" customHeight="1" thickBot="1">
      <c r="A22" s="371" t="s">
        <v>849</v>
      </c>
      <c r="B22" s="677" t="s">
        <v>445</v>
      </c>
      <c r="C22" s="677"/>
    </row>
    <row r="23" spans="1:9" ht="15">
      <c r="A23" s="372" t="s">
        <v>849</v>
      </c>
      <c r="B23" s="357" t="s">
        <v>28</v>
      </c>
      <c r="C23" s="358" t="s">
        <v>29</v>
      </c>
    </row>
    <row r="24" spans="1:9" ht="42.75">
      <c r="A24" s="372" t="s">
        <v>849</v>
      </c>
      <c r="B24" s="359" t="s">
        <v>194</v>
      </c>
      <c r="C24" s="268"/>
      <c r="G24" s="171"/>
    </row>
    <row r="25" spans="1:9" ht="15" customHeight="1">
      <c r="A25" s="372" t="s">
        <v>849</v>
      </c>
      <c r="B25" s="359" t="s">
        <v>195</v>
      </c>
      <c r="C25" s="268"/>
      <c r="G25" s="171"/>
    </row>
    <row r="26" spans="1:9">
      <c r="A26" s="372" t="s">
        <v>849</v>
      </c>
      <c r="B26" s="359" t="s">
        <v>956</v>
      </c>
      <c r="C26" s="268"/>
      <c r="G26" s="171"/>
    </row>
    <row r="27" spans="1:9">
      <c r="A27" s="372" t="s">
        <v>849</v>
      </c>
      <c r="B27" s="359" t="s">
        <v>196</v>
      </c>
      <c r="C27" s="268"/>
      <c r="F27" s="172" t="b">
        <f>$C$26="NO"</f>
        <v>0</v>
      </c>
      <c r="G27" s="171"/>
    </row>
    <row r="28" spans="1:9" ht="42.75">
      <c r="A28" s="372" t="s">
        <v>849</v>
      </c>
      <c r="B28" s="359" t="s">
        <v>197</v>
      </c>
      <c r="C28" s="268"/>
      <c r="G28" s="171"/>
    </row>
    <row r="29" spans="1:9" ht="43.5" thickBot="1">
      <c r="A29" s="373" t="s">
        <v>849</v>
      </c>
      <c r="B29" s="360" t="s">
        <v>198</v>
      </c>
      <c r="C29" s="361"/>
      <c r="G29" s="171"/>
    </row>
    <row r="30" spans="1:9" ht="15" thickBot="1">
      <c r="A30" s="375" t="s">
        <v>849</v>
      </c>
      <c r="B30" s="386"/>
      <c r="C30" s="386"/>
    </row>
    <row r="31" spans="1:9" ht="20.100000000000001" customHeight="1" thickBot="1">
      <c r="A31" s="371" t="s">
        <v>848</v>
      </c>
      <c r="B31" s="677" t="s">
        <v>915</v>
      </c>
      <c r="C31" s="677"/>
    </row>
    <row r="32" spans="1:9" ht="15">
      <c r="A32" s="372" t="s">
        <v>848</v>
      </c>
      <c r="B32" s="362" t="s">
        <v>28</v>
      </c>
      <c r="C32" s="363" t="s">
        <v>29</v>
      </c>
    </row>
    <row r="33" spans="1:7" ht="28.5">
      <c r="A33" s="372" t="s">
        <v>848</v>
      </c>
      <c r="B33" s="364" t="s">
        <v>199</v>
      </c>
      <c r="C33" s="376" t="s">
        <v>892</v>
      </c>
      <c r="G33" s="173"/>
    </row>
    <row r="34" spans="1:7" ht="28.5">
      <c r="A34" s="372" t="s">
        <v>848</v>
      </c>
      <c r="B34" s="364" t="s">
        <v>200</v>
      </c>
      <c r="C34" s="376" t="s">
        <v>892</v>
      </c>
      <c r="G34" s="173"/>
    </row>
    <row r="35" spans="1:7" ht="28.5">
      <c r="A35" s="372" t="s">
        <v>848</v>
      </c>
      <c r="B35" s="364" t="s">
        <v>201</v>
      </c>
      <c r="C35" s="376" t="s">
        <v>892</v>
      </c>
      <c r="G35" s="173"/>
    </row>
    <row r="36" spans="1:7">
      <c r="A36" s="372" t="s">
        <v>848</v>
      </c>
      <c r="B36" s="364" t="s">
        <v>202</v>
      </c>
      <c r="C36" s="376" t="s">
        <v>892</v>
      </c>
      <c r="G36" s="173"/>
    </row>
    <row r="37" spans="1:7" ht="29.25" thickBot="1">
      <c r="A37" s="373" t="s">
        <v>848</v>
      </c>
      <c r="B37" s="365" t="s">
        <v>203</v>
      </c>
      <c r="C37" s="377" t="s">
        <v>892</v>
      </c>
      <c r="G37" s="173"/>
    </row>
    <row r="38" spans="1:7" ht="15" thickBot="1">
      <c r="A38" s="375" t="s">
        <v>848</v>
      </c>
      <c r="B38" s="386"/>
      <c r="C38" s="386"/>
    </row>
    <row r="39" spans="1:7" ht="18.75" thickBot="1">
      <c r="A39" s="371" t="s">
        <v>847</v>
      </c>
      <c r="B39" s="669" t="s">
        <v>204</v>
      </c>
      <c r="C39" s="669"/>
    </row>
    <row r="40" spans="1:7" ht="15">
      <c r="A40" s="372" t="s">
        <v>847</v>
      </c>
      <c r="B40" s="357" t="s">
        <v>28</v>
      </c>
      <c r="C40" s="358" t="s">
        <v>29</v>
      </c>
    </row>
    <row r="41" spans="1:7">
      <c r="A41" s="372" t="s">
        <v>847</v>
      </c>
      <c r="B41" s="364" t="s">
        <v>205</v>
      </c>
      <c r="C41" s="376" t="s">
        <v>892</v>
      </c>
      <c r="G41" s="173"/>
    </row>
    <row r="42" spans="1:7">
      <c r="A42" s="372" t="s">
        <v>847</v>
      </c>
      <c r="B42" s="364" t="s">
        <v>206</v>
      </c>
      <c r="C42" s="376" t="s">
        <v>892</v>
      </c>
      <c r="G42" s="173"/>
    </row>
    <row r="43" spans="1:7" ht="42.75">
      <c r="A43" s="372" t="s">
        <v>847</v>
      </c>
      <c r="B43" s="364" t="s">
        <v>207</v>
      </c>
      <c r="C43" s="376" t="s">
        <v>892</v>
      </c>
    </row>
    <row r="44" spans="1:7" ht="42.75">
      <c r="A44" s="372" t="s">
        <v>847</v>
      </c>
      <c r="B44" s="364" t="s">
        <v>208</v>
      </c>
      <c r="C44" s="376" t="s">
        <v>892</v>
      </c>
      <c r="G44" s="173"/>
    </row>
    <row r="45" spans="1:7" ht="57.75" thickBot="1">
      <c r="A45" s="373" t="s">
        <v>847</v>
      </c>
      <c r="B45" s="365" t="s">
        <v>209</v>
      </c>
      <c r="C45" s="377" t="s">
        <v>892</v>
      </c>
      <c r="G45" s="173"/>
    </row>
    <row r="46" spans="1:7" ht="15" thickBot="1">
      <c r="A46" s="375" t="s">
        <v>847</v>
      </c>
      <c r="B46" s="386"/>
      <c r="C46" s="386"/>
    </row>
    <row r="47" spans="1:7" ht="18.75" thickBot="1">
      <c r="A47" s="371" t="s">
        <v>846</v>
      </c>
      <c r="B47" s="669" t="s">
        <v>210</v>
      </c>
      <c r="C47" s="669"/>
    </row>
    <row r="48" spans="1:7" ht="15">
      <c r="A48" s="372" t="s">
        <v>846</v>
      </c>
      <c r="B48" s="357" t="s">
        <v>28</v>
      </c>
      <c r="C48" s="358" t="s">
        <v>29</v>
      </c>
    </row>
    <row r="49" spans="1:7">
      <c r="A49" s="372" t="s">
        <v>846</v>
      </c>
      <c r="B49" s="359" t="s">
        <v>211</v>
      </c>
      <c r="C49" s="378" t="s">
        <v>892</v>
      </c>
      <c r="G49" s="173"/>
    </row>
    <row r="50" spans="1:7">
      <c r="A50" s="372" t="s">
        <v>846</v>
      </c>
      <c r="B50" s="359" t="s">
        <v>212</v>
      </c>
      <c r="C50" s="378" t="s">
        <v>892</v>
      </c>
      <c r="G50" s="173"/>
    </row>
    <row r="51" spans="1:7">
      <c r="A51" s="372" t="s">
        <v>846</v>
      </c>
      <c r="B51" s="359" t="s">
        <v>213</v>
      </c>
      <c r="C51" s="378" t="s">
        <v>892</v>
      </c>
    </row>
    <row r="52" spans="1:7" ht="57">
      <c r="A52" s="372" t="s">
        <v>846</v>
      </c>
      <c r="B52" s="359" t="s">
        <v>214</v>
      </c>
      <c r="C52" s="378" t="s">
        <v>892</v>
      </c>
      <c r="F52" s="174"/>
    </row>
    <row r="53" spans="1:7" ht="42.75">
      <c r="A53" s="372" t="s">
        <v>846</v>
      </c>
      <c r="B53" s="359" t="s">
        <v>215</v>
      </c>
      <c r="C53" s="378" t="s">
        <v>892</v>
      </c>
      <c r="G53" s="173"/>
    </row>
    <row r="54" spans="1:7" ht="29.25" thickBot="1">
      <c r="A54" s="373" t="s">
        <v>846</v>
      </c>
      <c r="B54" s="360" t="s">
        <v>216</v>
      </c>
      <c r="C54" s="379" t="s">
        <v>892</v>
      </c>
      <c r="G54" s="173"/>
    </row>
    <row r="55" spans="1:7" ht="15" thickBot="1">
      <c r="A55" s="375" t="s">
        <v>846</v>
      </c>
      <c r="B55" s="386"/>
      <c r="C55" s="386"/>
    </row>
    <row r="56" spans="1:7" ht="18.75" thickBot="1">
      <c r="A56" s="371" t="s">
        <v>845</v>
      </c>
      <c r="B56" s="669" t="s">
        <v>217</v>
      </c>
      <c r="C56" s="669"/>
    </row>
    <row r="57" spans="1:7" ht="15">
      <c r="A57" s="372" t="s">
        <v>845</v>
      </c>
      <c r="B57" s="357" t="s">
        <v>28</v>
      </c>
      <c r="C57" s="358" t="s">
        <v>29</v>
      </c>
    </row>
    <row r="58" spans="1:7">
      <c r="A58" s="372" t="s">
        <v>845</v>
      </c>
      <c r="B58" s="359" t="s">
        <v>218</v>
      </c>
      <c r="C58" s="378" t="s">
        <v>892</v>
      </c>
      <c r="G58" s="173"/>
    </row>
    <row r="59" spans="1:7" ht="42.75">
      <c r="A59" s="372" t="s">
        <v>845</v>
      </c>
      <c r="B59" s="359" t="s">
        <v>219</v>
      </c>
      <c r="C59" s="378" t="s">
        <v>892</v>
      </c>
    </row>
    <row r="60" spans="1:7" ht="28.5">
      <c r="A60" s="372" t="s">
        <v>845</v>
      </c>
      <c r="B60" s="359" t="s">
        <v>220</v>
      </c>
      <c r="C60" s="378" t="s">
        <v>892</v>
      </c>
      <c r="G60" s="173"/>
    </row>
    <row r="61" spans="1:7">
      <c r="A61" s="372" t="s">
        <v>845</v>
      </c>
      <c r="B61" s="359" t="s">
        <v>221</v>
      </c>
      <c r="C61" s="378" t="s">
        <v>892</v>
      </c>
      <c r="G61" s="173"/>
    </row>
    <row r="62" spans="1:7" ht="42.75">
      <c r="A62" s="372" t="s">
        <v>845</v>
      </c>
      <c r="B62" s="359" t="s">
        <v>222</v>
      </c>
      <c r="C62" s="378" t="s">
        <v>892</v>
      </c>
      <c r="G62" s="173"/>
    </row>
    <row r="63" spans="1:7" ht="28.5">
      <c r="A63" s="372" t="s">
        <v>845</v>
      </c>
      <c r="B63" s="359" t="s">
        <v>223</v>
      </c>
      <c r="C63" s="378" t="s">
        <v>892</v>
      </c>
      <c r="G63" s="173"/>
    </row>
    <row r="64" spans="1:7" ht="28.5">
      <c r="A64" s="372" t="s">
        <v>845</v>
      </c>
      <c r="B64" s="359" t="s">
        <v>224</v>
      </c>
      <c r="C64" s="378" t="s">
        <v>892</v>
      </c>
      <c r="G64" s="173"/>
    </row>
    <row r="65" spans="1:7">
      <c r="A65" s="372" t="s">
        <v>845</v>
      </c>
      <c r="B65" s="359" t="s">
        <v>225</v>
      </c>
      <c r="C65" s="378" t="s">
        <v>892</v>
      </c>
      <c r="G65" s="173"/>
    </row>
    <row r="66" spans="1:7" ht="28.5">
      <c r="A66" s="372" t="s">
        <v>845</v>
      </c>
      <c r="B66" s="359" t="s">
        <v>226</v>
      </c>
      <c r="C66" s="378" t="s">
        <v>892</v>
      </c>
      <c r="G66" s="173"/>
    </row>
    <row r="67" spans="1:7" ht="28.5">
      <c r="A67" s="372" t="s">
        <v>845</v>
      </c>
      <c r="B67" s="359" t="s">
        <v>227</v>
      </c>
      <c r="C67" s="378" t="s">
        <v>892</v>
      </c>
      <c r="G67" s="173"/>
    </row>
    <row r="68" spans="1:7" ht="57.75" thickBot="1">
      <c r="A68" s="373" t="s">
        <v>845</v>
      </c>
      <c r="B68" s="360" t="s">
        <v>228</v>
      </c>
      <c r="C68" s="379" t="s">
        <v>892</v>
      </c>
      <c r="G68" s="173"/>
    </row>
    <row r="69" spans="1:7" ht="15" thickBot="1">
      <c r="A69" s="375" t="s">
        <v>845</v>
      </c>
      <c r="B69" s="386"/>
      <c r="C69" s="386"/>
    </row>
    <row r="70" spans="1:7" ht="18.75" thickBot="1">
      <c r="A70" s="371" t="s">
        <v>842</v>
      </c>
      <c r="B70" s="669" t="s">
        <v>229</v>
      </c>
      <c r="C70" s="669"/>
    </row>
    <row r="71" spans="1:7" ht="15">
      <c r="A71" s="372" t="s">
        <v>842</v>
      </c>
      <c r="B71" s="366" t="s">
        <v>28</v>
      </c>
      <c r="C71" s="358" t="s">
        <v>29</v>
      </c>
    </row>
    <row r="72" spans="1:7" ht="42.75">
      <c r="A72" s="372" t="s">
        <v>842</v>
      </c>
      <c r="B72" s="261" t="s">
        <v>1014</v>
      </c>
      <c r="C72" s="367"/>
    </row>
    <row r="73" spans="1:7" ht="28.5">
      <c r="A73" s="372" t="s">
        <v>842</v>
      </c>
      <c r="B73" s="261" t="s">
        <v>1015</v>
      </c>
      <c r="C73" s="367"/>
    </row>
    <row r="74" spans="1:7">
      <c r="A74" s="372" t="s">
        <v>842</v>
      </c>
      <c r="B74" s="577" t="s">
        <v>1064</v>
      </c>
      <c r="C74" s="367"/>
    </row>
    <row r="75" spans="1:7" ht="42.75">
      <c r="A75" s="372" t="s">
        <v>842</v>
      </c>
      <c r="B75" s="261" t="s">
        <v>1016</v>
      </c>
      <c r="C75" s="367"/>
    </row>
    <row r="76" spans="1:7" ht="43.5" thickBot="1">
      <c r="A76" s="373" t="s">
        <v>842</v>
      </c>
      <c r="B76" s="262" t="s">
        <v>1017</v>
      </c>
      <c r="C76" s="368"/>
    </row>
    <row r="77" spans="1:7" ht="15" thickBot="1">
      <c r="A77" s="375" t="s">
        <v>842</v>
      </c>
      <c r="B77" s="386"/>
      <c r="C77" s="386"/>
    </row>
    <row r="78" spans="1:7" ht="18">
      <c r="A78" s="371" t="s">
        <v>843</v>
      </c>
      <c r="B78" s="670" t="s">
        <v>230</v>
      </c>
      <c r="C78" s="671"/>
    </row>
    <row r="79" spans="1:7" ht="15">
      <c r="A79" s="372" t="s">
        <v>843</v>
      </c>
      <c r="B79" s="357" t="s">
        <v>28</v>
      </c>
      <c r="C79" s="358" t="s">
        <v>29</v>
      </c>
    </row>
    <row r="80" spans="1:7" ht="28.5">
      <c r="A80" s="372" t="s">
        <v>843</v>
      </c>
      <c r="B80" s="359" t="s">
        <v>231</v>
      </c>
      <c r="C80" s="378" t="s">
        <v>892</v>
      </c>
      <c r="G80" s="173"/>
    </row>
    <row r="81" spans="1:7" ht="28.5">
      <c r="A81" s="372" t="s">
        <v>843</v>
      </c>
      <c r="B81" s="359" t="s">
        <v>232</v>
      </c>
      <c r="C81" s="378" t="s">
        <v>892</v>
      </c>
      <c r="G81" s="173"/>
    </row>
    <row r="82" spans="1:7" ht="42.75">
      <c r="A82" s="372" t="s">
        <v>843</v>
      </c>
      <c r="B82" s="359" t="s">
        <v>233</v>
      </c>
      <c r="C82" s="378" t="s">
        <v>892</v>
      </c>
      <c r="G82" s="173"/>
    </row>
    <row r="83" spans="1:7" ht="42.75">
      <c r="A83" s="372" t="s">
        <v>843</v>
      </c>
      <c r="B83" s="359" t="s">
        <v>234</v>
      </c>
      <c r="C83" s="378" t="s">
        <v>892</v>
      </c>
      <c r="G83" s="173"/>
    </row>
    <row r="84" spans="1:7" ht="57">
      <c r="A84" s="372" t="s">
        <v>843</v>
      </c>
      <c r="B84" s="359" t="s">
        <v>235</v>
      </c>
      <c r="C84" s="378" t="s">
        <v>892</v>
      </c>
      <c r="G84" s="173"/>
    </row>
    <row r="85" spans="1:7" ht="29.25" thickBot="1">
      <c r="A85" s="373" t="s">
        <v>843</v>
      </c>
      <c r="B85" s="360" t="s">
        <v>236</v>
      </c>
      <c r="C85" s="379" t="s">
        <v>892</v>
      </c>
      <c r="G85" s="173"/>
    </row>
    <row r="86" spans="1:7" ht="15" thickBot="1">
      <c r="A86" s="375" t="s">
        <v>843</v>
      </c>
      <c r="B86" s="386"/>
      <c r="C86" s="386"/>
    </row>
    <row r="87" spans="1:7" ht="18.75" thickBot="1">
      <c r="A87" s="382" t="s">
        <v>844</v>
      </c>
      <c r="B87" s="669" t="s">
        <v>237</v>
      </c>
      <c r="C87" s="669"/>
    </row>
    <row r="88" spans="1:7" ht="15">
      <c r="A88" s="380" t="s">
        <v>844</v>
      </c>
      <c r="B88" s="357" t="s">
        <v>28</v>
      </c>
      <c r="C88" s="358" t="s">
        <v>29</v>
      </c>
    </row>
    <row r="89" spans="1:7" ht="28.5">
      <c r="A89" s="380" t="s">
        <v>844</v>
      </c>
      <c r="B89" s="359" t="s">
        <v>238</v>
      </c>
      <c r="C89" s="378" t="s">
        <v>892</v>
      </c>
    </row>
    <row r="90" spans="1:7">
      <c r="A90" s="380" t="s">
        <v>844</v>
      </c>
      <c r="B90" s="359" t="s">
        <v>239</v>
      </c>
      <c r="C90" s="378" t="s">
        <v>892</v>
      </c>
      <c r="G90" s="173"/>
    </row>
    <row r="91" spans="1:7">
      <c r="A91" s="380" t="s">
        <v>844</v>
      </c>
      <c r="B91" s="359" t="s">
        <v>240</v>
      </c>
      <c r="C91" s="378" t="s">
        <v>892</v>
      </c>
    </row>
    <row r="92" spans="1:7">
      <c r="A92" s="380" t="s">
        <v>844</v>
      </c>
      <c r="B92" s="359" t="s">
        <v>241</v>
      </c>
      <c r="C92" s="378" t="s">
        <v>892</v>
      </c>
    </row>
    <row r="93" spans="1:7" ht="28.5">
      <c r="A93" s="380" t="s">
        <v>844</v>
      </c>
      <c r="B93" s="359" t="s">
        <v>242</v>
      </c>
      <c r="C93" s="378" t="s">
        <v>892</v>
      </c>
      <c r="G93" s="173"/>
    </row>
    <row r="94" spans="1:7" ht="42.75">
      <c r="A94" s="380" t="s">
        <v>844</v>
      </c>
      <c r="B94" s="359" t="s">
        <v>243</v>
      </c>
      <c r="C94" s="378" t="s">
        <v>892</v>
      </c>
    </row>
    <row r="95" spans="1:7" ht="15" thickBot="1">
      <c r="A95" s="381" t="s">
        <v>844</v>
      </c>
      <c r="B95" s="360" t="s">
        <v>244</v>
      </c>
      <c r="C95" s="379" t="s">
        <v>892</v>
      </c>
      <c r="F95" s="174"/>
    </row>
    <row r="96" spans="1:7" ht="8.1" customHeight="1">
      <c r="A96" s="396"/>
    </row>
    <row r="97" spans="1:3">
      <c r="A97" s="668" t="str">
        <f>HYPERLINK("#Material_Handing","End of Sheet. Click here to go to the next sheet.")</f>
        <v>End of Sheet. Click here to go to the next sheet.</v>
      </c>
      <c r="B97" s="644"/>
      <c r="C97" s="644"/>
    </row>
  </sheetData>
  <sheetProtection algorithmName="SHA-512" hashValue="JmNuO70quOfQGKMgKWxTcbXYwKjJ1IY5vGFtIKTD7sF/H4RhmZwpTQmbNnI7/C8Vw9cVZL2LfbFeIiJUVeT3ag==" saltValue="FLVKcw1xRMi0qu09wJFrkg==" spinCount="100000" sheet="1" objects="1" scenarios="1" formatColumns="0" formatRows="0" autoFilter="0"/>
  <autoFilter ref="A12:A95" xr:uid="{12AD65A1-5E74-4347-96F4-58E49AC27371}"/>
  <mergeCells count="27">
    <mergeCell ref="A1:C1"/>
    <mergeCell ref="A3:C3"/>
    <mergeCell ref="A5:C5"/>
    <mergeCell ref="A10:C10"/>
    <mergeCell ref="A6:C6"/>
    <mergeCell ref="A4:C4"/>
    <mergeCell ref="A7:C7"/>
    <mergeCell ref="A9:C9"/>
    <mergeCell ref="A2:C2"/>
    <mergeCell ref="B39:C39"/>
    <mergeCell ref="B12:C12"/>
    <mergeCell ref="B13:C13"/>
    <mergeCell ref="B14:C14"/>
    <mergeCell ref="B15:C15"/>
    <mergeCell ref="B16:C16"/>
    <mergeCell ref="B17:C17"/>
    <mergeCell ref="B18:C18"/>
    <mergeCell ref="B19:C19"/>
    <mergeCell ref="B20:C20"/>
    <mergeCell ref="B22:C22"/>
    <mergeCell ref="B31:C31"/>
    <mergeCell ref="A97:C97"/>
    <mergeCell ref="B87:C87"/>
    <mergeCell ref="B70:C70"/>
    <mergeCell ref="B78:C78"/>
    <mergeCell ref="B47:C47"/>
    <mergeCell ref="B56:C56"/>
  </mergeCells>
  <conditionalFormatting sqref="B27:C27">
    <cfRule type="expression" dxfId="26" priority="2">
      <formula>$F$27</formula>
    </cfRule>
  </conditionalFormatting>
  <conditionalFormatting sqref="C27:C29 C24:C25 C72:C73 C75:C76">
    <cfRule type="expression" dxfId="25" priority="3">
      <formula>C24="No"</formula>
    </cfRule>
  </conditionalFormatting>
  <conditionalFormatting sqref="C74">
    <cfRule type="expression" dxfId="24" priority="1">
      <formula>$C$74="Yes"</formula>
    </cfRule>
  </conditionalFormatting>
  <dataValidations count="7">
    <dataValidation type="list" allowBlank="1" showErrorMessage="1" prompt="Will an audible and/or visible mechanism be installed on the storage silo(s) to notify operators that the silo is full? Enter or select &quot;Yes&quot; or &quot;No&quot;." sqref="C72:C76" xr:uid="{0083FE4E-3F10-4773-96F3-D795C2D385A4}">
      <formula1>"Yes,No"</formula1>
    </dataValidation>
    <dataValidation type="list" allowBlank="1" showErrorMessage="1" promptTitle="§ 106.141 PBR Checklist" prompt="Is the batch mixer only used for mixing cement, sand, aggregate, lime, gypsum, additives, and/or water to produce concrete, grout, stucco, mortar, or other similar products? Select or enter &quot;Yes&quot; or &quot;No&quot;." sqref="C24" xr:uid="{6068695D-2EF6-4052-A795-C0E4F10B6A17}">
      <formula1>"Yes,No"</formula1>
    </dataValidation>
    <dataValidation type="list" allowBlank="1" showErrorMessage="1" promptTitle="§ 106.141 PBR Checklist" prompt="Is the batch mixer rated with a capacity of 27 cubic feet or less? Select or enter &quot;Yes&quot; or &quot;No&quot;." sqref="C25" xr:uid="{E1CF5548-3915-40C6-A4CE-1BA9645F57F9}">
      <formula1>"Yes,No"</formula1>
    </dataValidation>
    <dataValidation type="list" allowBlank="1" showErrorMessage="1" promptTitle="§ 106.141 PBR Checklist" prompt="Will an internal combustion be used to power the mixer? Select or enter &quot;Yes&quot; or &quot;No&quot;." sqref="C26" xr:uid="{76CD942A-E480-48A2-8E54-47A1D9426598}">
      <formula1>"Yes,No"</formula1>
    </dataValidation>
    <dataValidation type="list" allowBlank="1" showErrorMessage="1" promptTitle="§ 106.141 PBR Checklist" prompt="Will the engine be rated less than 25 horsepower? Select or enter &quot;Yes&quot; or &quot;No&quot;." sqref="C27" xr:uid="{34604EDD-F2A3-44A1-A87D-AFDA9E657B81}">
      <formula1>"Yes,No"</formula1>
    </dataValidation>
    <dataValidation type="list" allowBlank="1" showErrorMessage="1" promptTitle="§ 106.141 PBR Checklist" prompt="Will the owner or operator use best management practices for dust control by cleaning up spilled raw materials, waste products, or finished products on a daily basis? Select or enter &quot;Yes&quot; or &quot;No&quot;." sqref="C28" xr:uid="{2CCD57C4-0979-48AD-9E7B-C5BBB5AA40B1}">
      <formula1>"Yes,No"</formula1>
    </dataValidation>
    <dataValidation type="list" allowBlank="1" showErrorMessage="1" promptTitle="§ 106.141 PBR Checklist" prompt="Will the owner or operator use best management practices for dust control by controlling dust in transfer systems, stockpiles, work areas, storage, and truck unloading areas? Select or enter &quot;Yes&quot; or &quot;No&quot;." sqref="C29" xr:uid="{84D707CA-0F18-43E8-86CD-A93D2A22453C}">
      <formula1>"Yes,No"</formula1>
    </dataValidation>
  </dataValidations>
  <hyperlinks>
    <hyperlink ref="A6" r:id="rId1" xr:uid="{DB6EB94F-B979-49A7-B75D-99FEDB327ACF}"/>
    <hyperlink ref="A4" r:id="rId2" xr:uid="{5DA966D9-4242-477D-BABA-DD882426DBDB}"/>
    <hyperlink ref="A4:C4" r:id="rId3" display="https://www.tceq.texas.gov/permitting/air/guidance/authorize.html" xr:uid="{FF734845-1398-48B4-976C-4AF988AB18F4}"/>
  </hyperlinks>
  <pageMargins left="0.7" right="0.7" top="0.75" bottom="0.75" header="0.3" footer="0.3"/>
  <pageSetup scale="68" orientation="portrait" r:id="rId4"/>
  <tableParts count="8">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48312-1BD0-4D2E-8C24-BDC1EFE9C1FC}">
  <sheetPr codeName="Sheet4">
    <tabColor rgb="FFFFFFCC"/>
  </sheetPr>
  <dimension ref="A1:AH67"/>
  <sheetViews>
    <sheetView showGridLines="0" zoomScaleNormal="100" zoomScaleSheetLayoutView="80" workbookViewId="0">
      <selection sqref="A1:M1"/>
    </sheetView>
  </sheetViews>
  <sheetFormatPr defaultColWidth="10.7109375" defaultRowHeight="14.25" zeroHeight="1"/>
  <cols>
    <col min="1" max="1" width="8.7109375" style="131" customWidth="1"/>
    <col min="2" max="2" width="22.7109375" style="131" customWidth="1"/>
    <col min="3" max="3" width="6.7109375" style="131" customWidth="1"/>
    <col min="4" max="33" width="13.7109375" style="131" customWidth="1"/>
    <col min="34" max="34" width="12.140625" style="131" customWidth="1"/>
    <col min="35" max="35" width="19.42578125" style="131" customWidth="1"/>
    <col min="36" max="16384" width="10.7109375" style="131"/>
  </cols>
  <sheetData>
    <row r="1" spans="1:34" ht="18.75" customHeight="1" thickBot="1">
      <c r="A1" s="678" t="s">
        <v>459</v>
      </c>
      <c r="B1" s="691"/>
      <c r="C1" s="653"/>
      <c r="D1" s="653"/>
      <c r="E1" s="653"/>
      <c r="F1" s="653"/>
      <c r="G1" s="653"/>
      <c r="H1" s="653"/>
      <c r="I1" s="653"/>
      <c r="J1" s="653"/>
      <c r="K1" s="653"/>
      <c r="L1" s="653"/>
      <c r="M1" s="654"/>
    </row>
    <row r="2" spans="1:34" ht="20.100000000000001" customHeight="1">
      <c r="A2" s="692" t="s">
        <v>874</v>
      </c>
      <c r="B2" s="693"/>
      <c r="C2" s="693"/>
      <c r="D2" s="693"/>
      <c r="E2" s="693"/>
      <c r="F2" s="693"/>
      <c r="G2" s="693"/>
      <c r="H2" s="693"/>
      <c r="I2" s="693"/>
      <c r="J2" s="694"/>
      <c r="K2" s="694"/>
      <c r="L2" s="694"/>
      <c r="M2" s="695"/>
    </row>
    <row r="3" spans="1:34" ht="20.100000000000001" customHeight="1">
      <c r="A3" s="635" t="s">
        <v>902</v>
      </c>
      <c r="B3" s="682"/>
      <c r="C3" s="682"/>
      <c r="D3" s="682"/>
      <c r="E3" s="682"/>
      <c r="F3" s="682"/>
      <c r="G3" s="682"/>
      <c r="H3" s="682"/>
      <c r="I3" s="682"/>
      <c r="J3" s="644"/>
      <c r="K3" s="644"/>
      <c r="L3" s="644"/>
      <c r="M3" s="629"/>
    </row>
    <row r="4" spans="1:34" ht="20.100000000000001" customHeight="1">
      <c r="A4" s="685" t="s">
        <v>875</v>
      </c>
      <c r="B4" s="644"/>
      <c r="C4" s="644"/>
      <c r="D4" s="644"/>
      <c r="E4" s="644"/>
      <c r="F4" s="644"/>
      <c r="G4" s="644"/>
      <c r="H4" s="644"/>
      <c r="I4" s="644"/>
      <c r="J4" s="644"/>
      <c r="K4" s="644"/>
      <c r="L4" s="644"/>
      <c r="M4" s="629"/>
    </row>
    <row r="5" spans="1:34" ht="15" customHeight="1">
      <c r="A5" s="474"/>
      <c r="M5" s="399"/>
    </row>
    <row r="6" spans="1:34" ht="132" customHeight="1" thickBot="1">
      <c r="A6" s="696" t="s">
        <v>1060</v>
      </c>
      <c r="B6" s="697"/>
      <c r="C6" s="697"/>
      <c r="D6" s="697"/>
      <c r="E6" s="697"/>
      <c r="F6" s="697"/>
      <c r="G6" s="697"/>
      <c r="H6" s="697"/>
      <c r="I6" s="697"/>
      <c r="J6" s="698"/>
      <c r="K6" s="698"/>
      <c r="L6" s="698"/>
      <c r="M6" s="699"/>
      <c r="AH6" s="134" t="s">
        <v>939</v>
      </c>
    </row>
    <row r="7" spans="1:34" ht="15" thickBot="1">
      <c r="AH7" s="131" t="s">
        <v>939</v>
      </c>
    </row>
    <row r="8" spans="1:34" s="129" customFormat="1" ht="20.100000000000001" customHeight="1" thickBot="1">
      <c r="A8" s="476" t="s">
        <v>927</v>
      </c>
      <c r="B8" s="127"/>
      <c r="C8" s="128"/>
      <c r="D8" s="127"/>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c r="AE8" s="127"/>
      <c r="AF8" s="127"/>
      <c r="AG8" s="127"/>
      <c r="AH8" s="391"/>
    </row>
    <row r="9" spans="1:34" s="386" customFormat="1" ht="20.100000000000001" customHeight="1" thickBot="1">
      <c r="A9" s="385" t="s">
        <v>457</v>
      </c>
      <c r="B9" s="342" t="s">
        <v>449</v>
      </c>
      <c r="C9" s="130" t="s">
        <v>149</v>
      </c>
      <c r="D9" s="263" t="s">
        <v>460</v>
      </c>
      <c r="E9" s="166" t="s">
        <v>461</v>
      </c>
      <c r="F9" s="166" t="s">
        <v>462</v>
      </c>
      <c r="G9" s="166" t="s">
        <v>463</v>
      </c>
      <c r="H9" s="166" t="s">
        <v>464</v>
      </c>
      <c r="I9" s="166" t="s">
        <v>465</v>
      </c>
      <c r="J9" s="166" t="s">
        <v>466</v>
      </c>
      <c r="K9" s="166" t="s">
        <v>467</v>
      </c>
      <c r="L9" s="166" t="s">
        <v>468</v>
      </c>
      <c r="M9" s="554" t="s">
        <v>469</v>
      </c>
      <c r="N9" s="484" t="s">
        <v>470</v>
      </c>
      <c r="O9" s="166" t="s">
        <v>471</v>
      </c>
      <c r="P9" s="166" t="s">
        <v>472</v>
      </c>
      <c r="Q9" s="166" t="s">
        <v>473</v>
      </c>
      <c r="R9" s="166" t="s">
        <v>474</v>
      </c>
      <c r="S9" s="166" t="s">
        <v>485</v>
      </c>
      <c r="T9" s="166" t="s">
        <v>486</v>
      </c>
      <c r="U9" s="166" t="s">
        <v>487</v>
      </c>
      <c r="V9" s="166" t="s">
        <v>488</v>
      </c>
      <c r="W9" s="166" t="s">
        <v>489</v>
      </c>
      <c r="X9" s="166" t="s">
        <v>490</v>
      </c>
      <c r="Y9" s="166" t="s">
        <v>491</v>
      </c>
      <c r="Z9" s="166" t="s">
        <v>492</v>
      </c>
      <c r="AA9" s="166" t="s">
        <v>493</v>
      </c>
      <c r="AB9" s="166" t="s">
        <v>494</v>
      </c>
      <c r="AC9" s="166" t="s">
        <v>495</v>
      </c>
      <c r="AD9" s="166" t="s">
        <v>496</v>
      </c>
      <c r="AE9" s="166" t="s">
        <v>497</v>
      </c>
      <c r="AF9" s="166" t="s">
        <v>498</v>
      </c>
      <c r="AG9" s="167" t="s">
        <v>499</v>
      </c>
      <c r="AH9" s="392"/>
    </row>
    <row r="10" spans="1:34" ht="20.100000000000001" customHeight="1">
      <c r="A10" s="350" t="s">
        <v>458</v>
      </c>
      <c r="B10" s="346" t="s">
        <v>354</v>
      </c>
      <c r="C10" s="132" t="s">
        <v>99</v>
      </c>
      <c r="D10" s="249"/>
      <c r="E10" s="249"/>
      <c r="F10" s="249"/>
      <c r="G10" s="249"/>
      <c r="H10" s="249"/>
      <c r="I10" s="249"/>
      <c r="J10" s="249"/>
      <c r="K10" s="249"/>
      <c r="L10" s="249"/>
      <c r="M10" s="555"/>
      <c r="N10" s="417"/>
      <c r="O10" s="249"/>
      <c r="P10" s="249"/>
      <c r="Q10" s="249"/>
      <c r="R10" s="249"/>
      <c r="S10" s="249"/>
      <c r="T10" s="249"/>
      <c r="U10" s="249"/>
      <c r="V10" s="249"/>
      <c r="W10" s="249"/>
      <c r="X10" s="249"/>
      <c r="Y10" s="249"/>
      <c r="Z10" s="249"/>
      <c r="AA10" s="249"/>
      <c r="AB10" s="249"/>
      <c r="AC10" s="249"/>
      <c r="AD10" s="249"/>
      <c r="AE10" s="249"/>
      <c r="AF10" s="249"/>
      <c r="AG10" s="544"/>
      <c r="AH10" s="393"/>
    </row>
    <row r="11" spans="1:34" ht="20.100000000000001" customHeight="1">
      <c r="A11" s="284" t="str">
        <f>A9</f>
        <v>Type</v>
      </c>
      <c r="B11" s="275" t="s">
        <v>482</v>
      </c>
      <c r="C11" s="135" t="s">
        <v>99</v>
      </c>
      <c r="D11" s="255"/>
      <c r="E11" s="255"/>
      <c r="F11" s="255"/>
      <c r="G11" s="255"/>
      <c r="H11" s="255"/>
      <c r="I11" s="255"/>
      <c r="J11" s="255"/>
      <c r="K11" s="255"/>
      <c r="L11" s="255"/>
      <c r="M11" s="556"/>
      <c r="N11" s="548"/>
      <c r="O11" s="255"/>
      <c r="P11" s="255"/>
      <c r="Q11" s="255"/>
      <c r="R11" s="255"/>
      <c r="S11" s="255"/>
      <c r="T11" s="255"/>
      <c r="U11" s="255"/>
      <c r="V11" s="255"/>
      <c r="W11" s="255"/>
      <c r="X11" s="255"/>
      <c r="Y11" s="255"/>
      <c r="Z11" s="255"/>
      <c r="AA11" s="255"/>
      <c r="AB11" s="255"/>
      <c r="AC11" s="255"/>
      <c r="AD11" s="255"/>
      <c r="AE11" s="255"/>
      <c r="AF11" s="255"/>
      <c r="AG11" s="545"/>
      <c r="AH11" s="393"/>
    </row>
    <row r="12" spans="1:34" ht="39.950000000000003" customHeight="1">
      <c r="A12" s="284" t="str">
        <f>A10</f>
        <v>General</v>
      </c>
      <c r="B12" s="274" t="s">
        <v>1053</v>
      </c>
      <c r="C12" s="133" t="s">
        <v>99</v>
      </c>
      <c r="D12" s="250"/>
      <c r="E12" s="250"/>
      <c r="F12" s="250"/>
      <c r="G12" s="250"/>
      <c r="H12" s="250"/>
      <c r="I12" s="250"/>
      <c r="J12" s="250"/>
      <c r="K12" s="250"/>
      <c r="L12" s="250"/>
      <c r="M12" s="411"/>
      <c r="N12" s="418"/>
      <c r="O12" s="250"/>
      <c r="P12" s="250"/>
      <c r="Q12" s="250"/>
      <c r="R12" s="250"/>
      <c r="S12" s="250"/>
      <c r="T12" s="250"/>
      <c r="U12" s="250"/>
      <c r="V12" s="250"/>
      <c r="W12" s="250"/>
      <c r="X12" s="250"/>
      <c r="Y12" s="250"/>
      <c r="Z12" s="250"/>
      <c r="AA12" s="250"/>
      <c r="AB12" s="250"/>
      <c r="AC12" s="250"/>
      <c r="AD12" s="250"/>
      <c r="AE12" s="250"/>
      <c r="AF12" s="250"/>
      <c r="AG12" s="254"/>
      <c r="AH12" s="393"/>
    </row>
    <row r="13" spans="1:34" s="134" customFormat="1" ht="20.100000000000001" customHeight="1">
      <c r="A13" s="352"/>
      <c r="B13" s="347" t="s">
        <v>982</v>
      </c>
      <c r="C13" s="135" t="s">
        <v>99</v>
      </c>
      <c r="D13" s="467"/>
      <c r="E13" s="467"/>
      <c r="F13" s="467"/>
      <c r="G13" s="467"/>
      <c r="H13" s="467"/>
      <c r="I13" s="467"/>
      <c r="J13" s="467"/>
      <c r="K13" s="467"/>
      <c r="L13" s="467"/>
      <c r="M13" s="557"/>
      <c r="N13" s="549"/>
      <c r="O13" s="467"/>
      <c r="P13" s="467"/>
      <c r="Q13" s="467"/>
      <c r="R13" s="467"/>
      <c r="S13" s="467"/>
      <c r="T13" s="467"/>
      <c r="U13" s="467"/>
      <c r="V13" s="467"/>
      <c r="W13" s="467"/>
      <c r="X13" s="467"/>
      <c r="Y13" s="467"/>
      <c r="Z13" s="467"/>
      <c r="AA13" s="467"/>
      <c r="AB13" s="467"/>
      <c r="AC13" s="467"/>
      <c r="AD13" s="467"/>
      <c r="AE13" s="467"/>
      <c r="AF13" s="467"/>
      <c r="AG13" s="266"/>
      <c r="AH13" s="229"/>
    </row>
    <row r="14" spans="1:34" s="134" customFormat="1" ht="42" customHeight="1">
      <c r="A14" s="352" t="str">
        <f>A12</f>
        <v>General</v>
      </c>
      <c r="B14" s="274" t="s">
        <v>511</v>
      </c>
      <c r="C14" s="133" t="s">
        <v>99</v>
      </c>
      <c r="D14" s="251"/>
      <c r="E14" s="251"/>
      <c r="F14" s="251"/>
      <c r="G14" s="251"/>
      <c r="H14" s="251"/>
      <c r="I14" s="251"/>
      <c r="J14" s="251"/>
      <c r="K14" s="251"/>
      <c r="L14" s="251"/>
      <c r="M14" s="558"/>
      <c r="N14" s="550"/>
      <c r="O14" s="251"/>
      <c r="P14" s="251"/>
      <c r="Q14" s="251"/>
      <c r="R14" s="251"/>
      <c r="S14" s="251"/>
      <c r="T14" s="251"/>
      <c r="U14" s="251"/>
      <c r="V14" s="251"/>
      <c r="W14" s="251"/>
      <c r="X14" s="251"/>
      <c r="Y14" s="251"/>
      <c r="Z14" s="251"/>
      <c r="AA14" s="251"/>
      <c r="AB14" s="251"/>
      <c r="AC14" s="251"/>
      <c r="AD14" s="251"/>
      <c r="AE14" s="251"/>
      <c r="AF14" s="251"/>
      <c r="AG14" s="473"/>
      <c r="AH14" s="393"/>
    </row>
    <row r="15" spans="1:34" ht="20.100000000000001" customHeight="1">
      <c r="A15" s="284" t="str">
        <f t="shared" ref="A15:A22" si="0">A14</f>
        <v>General</v>
      </c>
      <c r="B15" s="274" t="s">
        <v>522</v>
      </c>
      <c r="C15" s="133" t="s">
        <v>475</v>
      </c>
      <c r="D15" s="250"/>
      <c r="E15" s="250"/>
      <c r="F15" s="250"/>
      <c r="G15" s="250"/>
      <c r="H15" s="250"/>
      <c r="I15" s="250"/>
      <c r="J15" s="250"/>
      <c r="K15" s="250"/>
      <c r="L15" s="250"/>
      <c r="M15" s="411"/>
      <c r="N15" s="418"/>
      <c r="O15" s="250"/>
      <c r="P15" s="250"/>
      <c r="Q15" s="250"/>
      <c r="R15" s="250"/>
      <c r="S15" s="250"/>
      <c r="T15" s="250"/>
      <c r="U15" s="250"/>
      <c r="V15" s="250"/>
      <c r="W15" s="250"/>
      <c r="X15" s="250"/>
      <c r="Y15" s="250"/>
      <c r="Z15" s="250"/>
      <c r="AA15" s="250"/>
      <c r="AB15" s="250"/>
      <c r="AC15" s="250"/>
      <c r="AD15" s="250"/>
      <c r="AE15" s="250"/>
      <c r="AF15" s="250"/>
      <c r="AG15" s="254"/>
      <c r="AH15" s="393"/>
    </row>
    <row r="16" spans="1:34" ht="20.100000000000001" customHeight="1">
      <c r="A16" s="284" t="str">
        <f t="shared" si="0"/>
        <v>General</v>
      </c>
      <c r="B16" s="274" t="s">
        <v>523</v>
      </c>
      <c r="C16" s="135" t="s">
        <v>35</v>
      </c>
      <c r="D16" s="250"/>
      <c r="E16" s="250"/>
      <c r="F16" s="250"/>
      <c r="G16" s="250"/>
      <c r="H16" s="250"/>
      <c r="I16" s="250"/>
      <c r="J16" s="250"/>
      <c r="K16" s="250"/>
      <c r="L16" s="250"/>
      <c r="M16" s="411"/>
      <c r="N16" s="418"/>
      <c r="O16" s="250"/>
      <c r="P16" s="250"/>
      <c r="Q16" s="250"/>
      <c r="R16" s="250"/>
      <c r="S16" s="250"/>
      <c r="T16" s="250"/>
      <c r="U16" s="250"/>
      <c r="V16" s="250"/>
      <c r="W16" s="250"/>
      <c r="X16" s="250"/>
      <c r="Y16" s="250"/>
      <c r="Z16" s="250"/>
      <c r="AA16" s="250"/>
      <c r="AB16" s="250"/>
      <c r="AC16" s="250"/>
      <c r="AD16" s="250"/>
      <c r="AE16" s="250"/>
      <c r="AF16" s="250"/>
      <c r="AG16" s="254"/>
      <c r="AH16" s="393"/>
    </row>
    <row r="17" spans="1:34" ht="20.100000000000001" customHeight="1">
      <c r="A17" s="284" t="str">
        <f t="shared" si="0"/>
        <v>General</v>
      </c>
      <c r="B17" s="274" t="s">
        <v>533</v>
      </c>
      <c r="C17" s="135" t="s">
        <v>476</v>
      </c>
      <c r="D17" s="460"/>
      <c r="E17" s="460"/>
      <c r="F17" s="460"/>
      <c r="G17" s="460"/>
      <c r="H17" s="460"/>
      <c r="I17" s="460"/>
      <c r="J17" s="460"/>
      <c r="K17" s="460"/>
      <c r="L17" s="460"/>
      <c r="M17" s="612"/>
      <c r="N17" s="613"/>
      <c r="O17" s="460"/>
      <c r="P17" s="460"/>
      <c r="Q17" s="460"/>
      <c r="R17" s="460"/>
      <c r="S17" s="460"/>
      <c r="T17" s="460"/>
      <c r="U17" s="460"/>
      <c r="V17" s="460"/>
      <c r="W17" s="460"/>
      <c r="X17" s="460"/>
      <c r="Y17" s="460"/>
      <c r="Z17" s="460"/>
      <c r="AA17" s="460"/>
      <c r="AB17" s="460"/>
      <c r="AC17" s="460"/>
      <c r="AD17" s="460"/>
      <c r="AE17" s="460"/>
      <c r="AF17" s="460"/>
      <c r="AG17" s="614"/>
      <c r="AH17" s="393"/>
    </row>
    <row r="18" spans="1:34" ht="20.100000000000001" customHeight="1">
      <c r="A18" s="284" t="str">
        <f t="shared" si="0"/>
        <v>General</v>
      </c>
      <c r="B18" s="274" t="s">
        <v>525</v>
      </c>
      <c r="C18" s="133" t="s">
        <v>99</v>
      </c>
      <c r="D18" s="250"/>
      <c r="E18" s="250"/>
      <c r="F18" s="250"/>
      <c r="G18" s="250"/>
      <c r="H18" s="250"/>
      <c r="I18" s="250"/>
      <c r="J18" s="250"/>
      <c r="K18" s="250"/>
      <c r="L18" s="250"/>
      <c r="M18" s="411"/>
      <c r="N18" s="418"/>
      <c r="O18" s="250"/>
      <c r="P18" s="250"/>
      <c r="Q18" s="250"/>
      <c r="R18" s="250"/>
      <c r="S18" s="250"/>
      <c r="T18" s="250"/>
      <c r="U18" s="250"/>
      <c r="V18" s="250"/>
      <c r="W18" s="250"/>
      <c r="X18" s="250"/>
      <c r="Y18" s="250"/>
      <c r="Z18" s="250"/>
      <c r="AA18" s="250"/>
      <c r="AB18" s="250"/>
      <c r="AC18" s="250"/>
      <c r="AD18" s="250"/>
      <c r="AE18" s="250"/>
      <c r="AF18" s="250"/>
      <c r="AG18" s="254"/>
      <c r="AH18" s="393"/>
    </row>
    <row r="19" spans="1:34" ht="45" customHeight="1">
      <c r="A19" s="284" t="str">
        <f t="shared" si="0"/>
        <v>General</v>
      </c>
      <c r="B19" s="274" t="s">
        <v>526</v>
      </c>
      <c r="C19" s="133" t="s">
        <v>99</v>
      </c>
      <c r="D19" s="252"/>
      <c r="E19" s="252"/>
      <c r="F19" s="252"/>
      <c r="G19" s="252"/>
      <c r="H19" s="252"/>
      <c r="I19" s="252"/>
      <c r="J19" s="252"/>
      <c r="K19" s="252"/>
      <c r="L19" s="252"/>
      <c r="M19" s="559"/>
      <c r="N19" s="551"/>
      <c r="O19" s="252"/>
      <c r="P19" s="252"/>
      <c r="Q19" s="252"/>
      <c r="R19" s="252"/>
      <c r="S19" s="252"/>
      <c r="T19" s="252"/>
      <c r="U19" s="252"/>
      <c r="V19" s="252"/>
      <c r="W19" s="252"/>
      <c r="X19" s="252"/>
      <c r="Y19" s="252"/>
      <c r="Z19" s="252"/>
      <c r="AA19" s="252"/>
      <c r="AB19" s="252"/>
      <c r="AC19" s="252"/>
      <c r="AD19" s="252"/>
      <c r="AE19" s="252"/>
      <c r="AF19" s="252"/>
      <c r="AG19" s="268"/>
      <c r="AH19" s="393"/>
    </row>
    <row r="20" spans="1:34" ht="20.100000000000001" customHeight="1">
      <c r="A20" s="284" t="str">
        <f t="shared" si="0"/>
        <v>General</v>
      </c>
      <c r="B20" s="275" t="s">
        <v>881</v>
      </c>
      <c r="C20" s="135" t="s">
        <v>406</v>
      </c>
      <c r="D20" s="439">
        <f>IFERROR(IF(D43="y",0,INDEX(Reference!$B$51:$B$58,MATCH(D19,Reference!$A$51:$A$58,0))),0)</f>
        <v>0</v>
      </c>
      <c r="E20" s="440">
        <f>IFERROR(IF(E43="y",0,INDEX(Reference!$B$51:$B$58,MATCH(E19,Reference!$A$51:$A$58,0))),0)</f>
        <v>0</v>
      </c>
      <c r="F20" s="440">
        <f>IFERROR(IF(F43="y",0,INDEX(Reference!$B$51:$B$58,MATCH(F19,Reference!$A$51:$A$58,0))),0)</f>
        <v>0</v>
      </c>
      <c r="G20" s="440">
        <f>IFERROR(IF(G43="y",0,INDEX(Reference!$B$51:$B$58,MATCH(G19,Reference!$A$51:$A$58,0))),0)</f>
        <v>0</v>
      </c>
      <c r="H20" s="440">
        <f>IFERROR(IF(H43="y",0,INDEX(Reference!$B$51:$B$58,MATCH(H19,Reference!$A$51:$A$58,0))),0)</f>
        <v>0</v>
      </c>
      <c r="I20" s="440">
        <f>IFERROR(IF(I43="y",0,INDEX(Reference!$B$51:$B$58,MATCH(I19,Reference!$A$51:$A$58,0))),0)</f>
        <v>0</v>
      </c>
      <c r="J20" s="440">
        <f>IFERROR(IF(J43="y",0,INDEX(Reference!$B$51:$B$58,MATCH(J19,Reference!$A$51:$A$58,0))),0)</f>
        <v>0</v>
      </c>
      <c r="K20" s="440">
        <f>IFERROR(IF(K43="y",0,INDEX(Reference!$B$51:$B$58,MATCH(K19,Reference!$A$51:$A$58,0))),0)</f>
        <v>0</v>
      </c>
      <c r="L20" s="440">
        <f>IFERROR(IF(L43="y",0,INDEX(Reference!$B$51:$B$58,MATCH(L19,Reference!$A$51:$A$58,0))),0)</f>
        <v>0</v>
      </c>
      <c r="M20" s="560">
        <f>IFERROR(IF(M43="y",0,INDEX(Reference!$B$51:$B$58,MATCH(M19,Reference!$A$51:$A$58,0))),0)</f>
        <v>0</v>
      </c>
      <c r="N20" s="552">
        <f>IFERROR(IF(N43="y",0,INDEX(Reference!$B$51:$B$58,MATCH(N19,Reference!$A$51:$A$58,0))),0)</f>
        <v>0</v>
      </c>
      <c r="O20" s="440">
        <f>IFERROR(IF(O43="y",0,INDEX(Reference!$B$51:$B$58,MATCH(O19,Reference!$A$51:$A$58,0))),0)</f>
        <v>0</v>
      </c>
      <c r="P20" s="440">
        <f>IFERROR(IF(P43="y",0,INDEX(Reference!$B$51:$B$58,MATCH(P19,Reference!$A$51:$A$58,0))),0)</f>
        <v>0</v>
      </c>
      <c r="Q20" s="440">
        <f>IFERROR(IF(Q43="y",0,INDEX(Reference!$B$51:$B$58,MATCH(Q19,Reference!$A$51:$A$58,0))),0)</f>
        <v>0</v>
      </c>
      <c r="R20" s="440">
        <f>IFERROR(IF(R43="y",0,INDEX(Reference!$B$51:$B$58,MATCH(R19,Reference!$A$51:$A$58,0))),0)</f>
        <v>0</v>
      </c>
      <c r="S20" s="440">
        <f>IFERROR(IF(S43="y",0,INDEX(Reference!$B$51:$B$58,MATCH(S19,Reference!$A$51:$A$58,0))),0)</f>
        <v>0</v>
      </c>
      <c r="T20" s="440">
        <f>IFERROR(IF(T43="y",0,INDEX(Reference!$B$51:$B$58,MATCH(T19,Reference!$A$51:$A$58,0))),0)</f>
        <v>0</v>
      </c>
      <c r="U20" s="440">
        <f>IFERROR(IF(U43="y",0,INDEX(Reference!$B$51:$B$58,MATCH(U19,Reference!$A$51:$A$58,0))),0)</f>
        <v>0</v>
      </c>
      <c r="V20" s="440">
        <f>IFERROR(IF(V43="y",0,INDEX(Reference!$B$51:$B$58,MATCH(V19,Reference!$A$51:$A$58,0))),0)</f>
        <v>0</v>
      </c>
      <c r="W20" s="440">
        <f>IFERROR(IF(W43="y",0,INDEX(Reference!$B$51:$B$58,MATCH(W19,Reference!$A$51:$A$58,0))),0)</f>
        <v>0</v>
      </c>
      <c r="X20" s="440">
        <f>IFERROR(IF(X43="y",0,INDEX(Reference!$B$51:$B$58,MATCH(X19,Reference!$A$51:$A$58,0))),0)</f>
        <v>0</v>
      </c>
      <c r="Y20" s="440">
        <f>IFERROR(IF(Y43="y",0,INDEX(Reference!$B$51:$B$58,MATCH(Y19,Reference!$A$51:$A$58,0))),0)</f>
        <v>0</v>
      </c>
      <c r="Z20" s="440">
        <f>IFERROR(IF(Z43="y",0,INDEX(Reference!$B$51:$B$58,MATCH(Z19,Reference!$A$51:$A$58,0))),0)</f>
        <v>0</v>
      </c>
      <c r="AA20" s="440">
        <f>IFERROR(IF(AA43="y",0,INDEX(Reference!$B$51:$B$58,MATCH(AA19,Reference!$A$51:$A$58,0))),0)</f>
        <v>0</v>
      </c>
      <c r="AB20" s="440">
        <f>IFERROR(IF(AB43="y",0,INDEX(Reference!$B$51:$B$58,MATCH(AB19,Reference!$A$51:$A$58,0))),0)</f>
        <v>0</v>
      </c>
      <c r="AC20" s="440">
        <f>IFERROR(IF(AC43="y",0,INDEX(Reference!$B$51:$B$58,MATCH(AC19,Reference!$A$51:$A$58,0))),0)</f>
        <v>0</v>
      </c>
      <c r="AD20" s="440">
        <f>IFERROR(IF(AD43="y",0,INDEX(Reference!$B$51:$B$58,MATCH(AD19,Reference!$A$51:$A$58,0))),0)</f>
        <v>0</v>
      </c>
      <c r="AE20" s="440">
        <f>IFERROR(IF(AE43="y",0,INDEX(Reference!$B$51:$B$58,MATCH(AE19,Reference!$A$51:$A$58,0))),0)</f>
        <v>0</v>
      </c>
      <c r="AF20" s="440">
        <f>IFERROR(IF(AF43="y",0,INDEX(Reference!$B$51:$B$58,MATCH(AF19,Reference!$A$51:$A$58,0))),0)</f>
        <v>0</v>
      </c>
      <c r="AG20" s="441">
        <f>IFERROR(IF(AG43="y",0,INDEX(Reference!$B$51:$B$58,MATCH(AG19,Reference!$A$51:$A$58,0))),0)</f>
        <v>0</v>
      </c>
      <c r="AH20" s="393"/>
    </row>
    <row r="21" spans="1:34" ht="20.100000000000001" customHeight="1">
      <c r="A21" s="284" t="str">
        <f t="shared" si="0"/>
        <v>General</v>
      </c>
      <c r="B21" s="274" t="s">
        <v>873</v>
      </c>
      <c r="C21" s="135" t="s">
        <v>406</v>
      </c>
      <c r="D21" s="253"/>
      <c r="E21" s="253"/>
      <c r="F21" s="253"/>
      <c r="G21" s="253"/>
      <c r="H21" s="253"/>
      <c r="I21" s="253"/>
      <c r="J21" s="253"/>
      <c r="K21" s="253"/>
      <c r="L21" s="253"/>
      <c r="M21" s="561"/>
      <c r="N21" s="553"/>
      <c r="O21" s="253"/>
      <c r="P21" s="253"/>
      <c r="Q21" s="253"/>
      <c r="R21" s="253"/>
      <c r="S21" s="253"/>
      <c r="T21" s="253"/>
      <c r="U21" s="253"/>
      <c r="V21" s="253"/>
      <c r="W21" s="253"/>
      <c r="X21" s="253"/>
      <c r="Y21" s="253"/>
      <c r="Z21" s="253"/>
      <c r="AA21" s="253"/>
      <c r="AB21" s="253"/>
      <c r="AC21" s="253"/>
      <c r="AD21" s="253"/>
      <c r="AE21" s="253"/>
      <c r="AF21" s="253"/>
      <c r="AG21" s="267"/>
      <c r="AH21" s="393"/>
    </row>
    <row r="22" spans="1:34" ht="42.75" customHeight="1">
      <c r="A22" s="284" t="str">
        <f t="shared" si="0"/>
        <v>General</v>
      </c>
      <c r="B22" s="274" t="s">
        <v>986</v>
      </c>
      <c r="C22" s="135" t="s">
        <v>99</v>
      </c>
      <c r="D22" s="253"/>
      <c r="E22" s="253"/>
      <c r="F22" s="253"/>
      <c r="G22" s="253"/>
      <c r="H22" s="253"/>
      <c r="I22" s="253"/>
      <c r="J22" s="253"/>
      <c r="K22" s="253"/>
      <c r="L22" s="253"/>
      <c r="M22" s="561"/>
      <c r="N22" s="553"/>
      <c r="O22" s="253"/>
      <c r="P22" s="253"/>
      <c r="Q22" s="253"/>
      <c r="R22" s="253"/>
      <c r="S22" s="253"/>
      <c r="T22" s="253"/>
      <c r="U22" s="253"/>
      <c r="V22" s="253"/>
      <c r="W22" s="253"/>
      <c r="X22" s="253"/>
      <c r="Y22" s="253"/>
      <c r="Z22" s="253"/>
      <c r="AA22" s="253"/>
      <c r="AB22" s="253"/>
      <c r="AC22" s="253"/>
      <c r="AD22" s="253"/>
      <c r="AE22" s="253"/>
      <c r="AF22" s="253"/>
      <c r="AG22" s="267"/>
      <c r="AH22" s="393"/>
    </row>
    <row r="23" spans="1:34" ht="15" thickBot="1">
      <c r="A23" s="353" t="str">
        <f>A21</f>
        <v>General</v>
      </c>
      <c r="B23" s="348" t="s">
        <v>527</v>
      </c>
      <c r="C23" s="136" t="s">
        <v>406</v>
      </c>
      <c r="D23" s="442">
        <f t="shared" ref="D23:AG23" si="1">IF(D43="y",0,IF(OR(D19="Partial Enclosure*",D19="Alternative Control Method*"),D21,D20))</f>
        <v>0</v>
      </c>
      <c r="E23" s="443">
        <f t="shared" si="1"/>
        <v>0</v>
      </c>
      <c r="F23" s="443">
        <f t="shared" si="1"/>
        <v>0</v>
      </c>
      <c r="G23" s="443">
        <f t="shared" si="1"/>
        <v>0</v>
      </c>
      <c r="H23" s="443">
        <f t="shared" si="1"/>
        <v>0</v>
      </c>
      <c r="I23" s="443">
        <f t="shared" si="1"/>
        <v>0</v>
      </c>
      <c r="J23" s="443">
        <f t="shared" si="1"/>
        <v>0</v>
      </c>
      <c r="K23" s="443">
        <f t="shared" si="1"/>
        <v>0</v>
      </c>
      <c r="L23" s="443">
        <f t="shared" si="1"/>
        <v>0</v>
      </c>
      <c r="M23" s="443">
        <f t="shared" si="1"/>
        <v>0</v>
      </c>
      <c r="N23" s="443">
        <f t="shared" si="1"/>
        <v>0</v>
      </c>
      <c r="O23" s="443">
        <f t="shared" si="1"/>
        <v>0</v>
      </c>
      <c r="P23" s="443">
        <f t="shared" si="1"/>
        <v>0</v>
      </c>
      <c r="Q23" s="443">
        <f t="shared" si="1"/>
        <v>0</v>
      </c>
      <c r="R23" s="443">
        <f t="shared" si="1"/>
        <v>0</v>
      </c>
      <c r="S23" s="443">
        <f t="shared" si="1"/>
        <v>0</v>
      </c>
      <c r="T23" s="443">
        <f t="shared" si="1"/>
        <v>0</v>
      </c>
      <c r="U23" s="443">
        <f t="shared" si="1"/>
        <v>0</v>
      </c>
      <c r="V23" s="443">
        <f t="shared" si="1"/>
        <v>0</v>
      </c>
      <c r="W23" s="443">
        <f t="shared" si="1"/>
        <v>0</v>
      </c>
      <c r="X23" s="443">
        <f t="shared" si="1"/>
        <v>0</v>
      </c>
      <c r="Y23" s="443">
        <f t="shared" si="1"/>
        <v>0</v>
      </c>
      <c r="Z23" s="443">
        <f t="shared" si="1"/>
        <v>0</v>
      </c>
      <c r="AA23" s="443">
        <f t="shared" si="1"/>
        <v>0</v>
      </c>
      <c r="AB23" s="443">
        <f t="shared" si="1"/>
        <v>0</v>
      </c>
      <c r="AC23" s="443">
        <f t="shared" si="1"/>
        <v>0</v>
      </c>
      <c r="AD23" s="443">
        <f t="shared" si="1"/>
        <v>0</v>
      </c>
      <c r="AE23" s="443">
        <f t="shared" si="1"/>
        <v>0</v>
      </c>
      <c r="AF23" s="443">
        <f t="shared" si="1"/>
        <v>0</v>
      </c>
      <c r="AG23" s="444">
        <f t="shared" si="1"/>
        <v>0</v>
      </c>
      <c r="AH23" s="393"/>
    </row>
    <row r="24" spans="1:34" ht="20.100000000000001" customHeight="1">
      <c r="A24" s="351" t="s">
        <v>338</v>
      </c>
      <c r="B24" s="276" t="s">
        <v>508</v>
      </c>
      <c r="C24" s="137" t="s">
        <v>405</v>
      </c>
      <c r="D24" s="445">
        <f>IF(ISBLANK(D14),0,INDEX(Reference!$B$20:$B$37,MATCH(D$14,Reference!$F$20:$F$37,0)))</f>
        <v>0</v>
      </c>
      <c r="E24" s="446">
        <f>IF(ISBLANK(E14),0,INDEX(Reference!$B$20:$B$37,MATCH(E$14,Reference!$F$20:$F$37,0)))</f>
        <v>0</v>
      </c>
      <c r="F24" s="446">
        <f>IF(ISBLANK(F14),0,INDEX(Reference!$B$20:$B$37,MATCH(F$14,Reference!$F$20:$F$37,0)))</f>
        <v>0</v>
      </c>
      <c r="G24" s="446">
        <f>IF(ISBLANK(G14),0,INDEX(Reference!$B$20:$B$37,MATCH(G$14,Reference!$F$20:$F$37,0)))</f>
        <v>0</v>
      </c>
      <c r="H24" s="446">
        <f>IF(ISBLANK(H14),0,INDEX(Reference!$B$20:$B$37,MATCH(H$14,Reference!$F$20:$F$37,0)))</f>
        <v>0</v>
      </c>
      <c r="I24" s="446">
        <f>IF(ISBLANK(I14),0,INDEX(Reference!$B$20:$B$37,MATCH(I$14,Reference!$F$20:$F$37,0)))</f>
        <v>0</v>
      </c>
      <c r="J24" s="446">
        <f>IF(ISBLANK(J14),0,INDEX(Reference!$B$20:$B$37,MATCH(J$14,Reference!$F$20:$F$37,0)))</f>
        <v>0</v>
      </c>
      <c r="K24" s="446">
        <f>IF(ISBLANK(K14),0,INDEX(Reference!$B$20:$B$37,MATCH(K$14,Reference!$F$20:$F$37,0)))</f>
        <v>0</v>
      </c>
      <c r="L24" s="446">
        <f>IF(ISBLANK(L14),0,INDEX(Reference!$B$20:$B$37,MATCH(L$14,Reference!$F$20:$F$37,0)))</f>
        <v>0</v>
      </c>
      <c r="M24" s="446">
        <f>IF(ISBLANK(M14),0,INDEX(Reference!$B$20:$B$37,MATCH(M$14,Reference!$F$20:$F$37,0)))</f>
        <v>0</v>
      </c>
      <c r="N24" s="446">
        <f>IF(ISBLANK(N14),0,INDEX(Reference!$B$20:$B$37,MATCH(N$14,Reference!$F$20:$F$37,0)))</f>
        <v>0</v>
      </c>
      <c r="O24" s="446">
        <f>IF(ISBLANK(O14),0,INDEX(Reference!$B$20:$B$37,MATCH(O$14,Reference!$F$20:$F$37,0)))</f>
        <v>0</v>
      </c>
      <c r="P24" s="446">
        <f>IF(ISBLANK(P14),0,INDEX(Reference!$B$20:$B$37,MATCH(P$14,Reference!$F$20:$F$37,0)))</f>
        <v>0</v>
      </c>
      <c r="Q24" s="446">
        <f>IF(ISBLANK(Q14),0,INDEX(Reference!$B$20:$B$37,MATCH(Q$14,Reference!$F$20:$F$37,0)))</f>
        <v>0</v>
      </c>
      <c r="R24" s="446">
        <f>IF(ISBLANK(R14),0,INDEX(Reference!$B$20:$B$37,MATCH(R$14,Reference!$F$20:$F$37,0)))</f>
        <v>0</v>
      </c>
      <c r="S24" s="446">
        <f>IF(ISBLANK(S14),0,INDEX(Reference!$B$20:$B$37,MATCH(S$14,Reference!$F$20:$F$37,0)))</f>
        <v>0</v>
      </c>
      <c r="T24" s="446">
        <f>IF(ISBLANK(T14),0,INDEX(Reference!$B$20:$B$37,MATCH(T$14,Reference!$F$20:$F$37,0)))</f>
        <v>0</v>
      </c>
      <c r="U24" s="446">
        <f>IF(ISBLANK(U14),0,INDEX(Reference!$B$20:$B$37,MATCH(U$14,Reference!$F$20:$F$37,0)))</f>
        <v>0</v>
      </c>
      <c r="V24" s="446">
        <f>IF(ISBLANK(V14),0,INDEX(Reference!$B$20:$B$37,MATCH(V$14,Reference!$F$20:$F$37,0)))</f>
        <v>0</v>
      </c>
      <c r="W24" s="446">
        <f>IF(ISBLANK(W14),0,INDEX(Reference!$B$20:$B$37,MATCH(W$14,Reference!$F$20:$F$37,0)))</f>
        <v>0</v>
      </c>
      <c r="X24" s="446">
        <f>IF(ISBLANK(X14),0,INDEX(Reference!$B$20:$B$37,MATCH(X$14,Reference!$F$20:$F$37,0)))</f>
        <v>0</v>
      </c>
      <c r="Y24" s="446">
        <f>IF(ISBLANK(Y14),0,INDEX(Reference!$B$20:$B$37,MATCH(Y$14,Reference!$F$20:$F$37,0)))</f>
        <v>0</v>
      </c>
      <c r="Z24" s="446">
        <f>IF(ISBLANK(Z14),0,INDEX(Reference!$B$20:$B$37,MATCH(Z$14,Reference!$F$20:$F$37,0)))</f>
        <v>0</v>
      </c>
      <c r="AA24" s="446">
        <f>IF(ISBLANK(AA14),0,INDEX(Reference!$B$20:$B$37,MATCH(AA$14,Reference!$F$20:$F$37,0)))</f>
        <v>0</v>
      </c>
      <c r="AB24" s="446">
        <f>IF(ISBLANK(AB14),0,INDEX(Reference!$B$20:$B$37,MATCH(AB$14,Reference!$F$20:$F$37,0)))</f>
        <v>0</v>
      </c>
      <c r="AC24" s="446">
        <f>IF(ISBLANK(AC14),0,INDEX(Reference!$B$20:$B$37,MATCH(AC$14,Reference!$F$20:$F$37,0)))</f>
        <v>0</v>
      </c>
      <c r="AD24" s="446">
        <f>IF(ISBLANK(AD14),0,INDEX(Reference!$B$20:$B$37,MATCH(AD$14,Reference!$F$20:$F$37,0)))</f>
        <v>0</v>
      </c>
      <c r="AE24" s="446">
        <f>IF(ISBLANK(AE14),0,INDEX(Reference!$B$20:$B$37,MATCH(AE$14,Reference!$F$20:$F$37,0)))</f>
        <v>0</v>
      </c>
      <c r="AF24" s="446">
        <f>IF(ISBLANK(AF14),0,INDEX(Reference!$B$20:$B$37,MATCH(AF$14,Reference!$F$20:$F$37,0)))</f>
        <v>0</v>
      </c>
      <c r="AG24" s="447">
        <f>IF(ISBLANK(AG14),0,INDEX(Reference!$B$20:$B$37,MATCH(AG$14,Reference!$F$20:$F$37,0)))</f>
        <v>0</v>
      </c>
      <c r="AH24" s="393"/>
    </row>
    <row r="25" spans="1:34" ht="20.100000000000001" customHeight="1">
      <c r="A25" s="284" t="str">
        <f>A24</f>
        <v>PM</v>
      </c>
      <c r="B25" s="277" t="s">
        <v>518</v>
      </c>
      <c r="C25" s="135" t="s">
        <v>34</v>
      </c>
      <c r="D25" s="448">
        <f>D24*D$15*D$18*(1-D$23)</f>
        <v>0</v>
      </c>
      <c r="E25" s="343">
        <f t="shared" ref="E25:AG25" si="2">E24*E$15*E$18*(1-E$23)</f>
        <v>0</v>
      </c>
      <c r="F25" s="343">
        <f t="shared" si="2"/>
        <v>0</v>
      </c>
      <c r="G25" s="343">
        <f t="shared" si="2"/>
        <v>0</v>
      </c>
      <c r="H25" s="343">
        <f t="shared" si="2"/>
        <v>0</v>
      </c>
      <c r="I25" s="343">
        <f t="shared" si="2"/>
        <v>0</v>
      </c>
      <c r="J25" s="343">
        <f t="shared" si="2"/>
        <v>0</v>
      </c>
      <c r="K25" s="343">
        <f t="shared" si="2"/>
        <v>0</v>
      </c>
      <c r="L25" s="343">
        <f t="shared" si="2"/>
        <v>0</v>
      </c>
      <c r="M25" s="343">
        <f t="shared" si="2"/>
        <v>0</v>
      </c>
      <c r="N25" s="343">
        <f t="shared" si="2"/>
        <v>0</v>
      </c>
      <c r="O25" s="343">
        <f t="shared" si="2"/>
        <v>0</v>
      </c>
      <c r="P25" s="343">
        <f t="shared" si="2"/>
        <v>0</v>
      </c>
      <c r="Q25" s="343">
        <f t="shared" si="2"/>
        <v>0</v>
      </c>
      <c r="R25" s="343">
        <f t="shared" si="2"/>
        <v>0</v>
      </c>
      <c r="S25" s="343">
        <f t="shared" si="2"/>
        <v>0</v>
      </c>
      <c r="T25" s="343">
        <f t="shared" si="2"/>
        <v>0</v>
      </c>
      <c r="U25" s="343">
        <f t="shared" si="2"/>
        <v>0</v>
      </c>
      <c r="V25" s="343">
        <f t="shared" si="2"/>
        <v>0</v>
      </c>
      <c r="W25" s="343">
        <f t="shared" si="2"/>
        <v>0</v>
      </c>
      <c r="X25" s="343">
        <f t="shared" si="2"/>
        <v>0</v>
      </c>
      <c r="Y25" s="343">
        <f t="shared" si="2"/>
        <v>0</v>
      </c>
      <c r="Z25" s="343">
        <f t="shared" si="2"/>
        <v>0</v>
      </c>
      <c r="AA25" s="343">
        <f t="shared" si="2"/>
        <v>0</v>
      </c>
      <c r="AB25" s="343">
        <f t="shared" si="2"/>
        <v>0</v>
      </c>
      <c r="AC25" s="343">
        <f t="shared" si="2"/>
        <v>0</v>
      </c>
      <c r="AD25" s="343">
        <f t="shared" si="2"/>
        <v>0</v>
      </c>
      <c r="AE25" s="343">
        <f t="shared" si="2"/>
        <v>0</v>
      </c>
      <c r="AF25" s="343">
        <f t="shared" si="2"/>
        <v>0</v>
      </c>
      <c r="AG25" s="449">
        <f t="shared" si="2"/>
        <v>0</v>
      </c>
      <c r="AH25" s="393"/>
    </row>
    <row r="26" spans="1:34" ht="20.100000000000001" customHeight="1" thickBot="1">
      <c r="A26" s="353" t="str">
        <f>A25</f>
        <v>PM</v>
      </c>
      <c r="B26" s="278" t="s">
        <v>521</v>
      </c>
      <c r="C26" s="136" t="s">
        <v>35</v>
      </c>
      <c r="D26" s="450">
        <f>D24*D$16*D$18/2000*(1-D$23)</f>
        <v>0</v>
      </c>
      <c r="E26" s="345">
        <f t="shared" ref="E26:AG26" si="3">E24*E$16*E$18/2000*(1-E$23)</f>
        <v>0</v>
      </c>
      <c r="F26" s="345">
        <f t="shared" si="3"/>
        <v>0</v>
      </c>
      <c r="G26" s="345">
        <f t="shared" si="3"/>
        <v>0</v>
      </c>
      <c r="H26" s="345">
        <f t="shared" si="3"/>
        <v>0</v>
      </c>
      <c r="I26" s="345">
        <f t="shared" si="3"/>
        <v>0</v>
      </c>
      <c r="J26" s="345">
        <f t="shared" si="3"/>
        <v>0</v>
      </c>
      <c r="K26" s="345">
        <f t="shared" si="3"/>
        <v>0</v>
      </c>
      <c r="L26" s="345">
        <f t="shared" si="3"/>
        <v>0</v>
      </c>
      <c r="M26" s="345">
        <f t="shared" si="3"/>
        <v>0</v>
      </c>
      <c r="N26" s="345">
        <f t="shared" si="3"/>
        <v>0</v>
      </c>
      <c r="O26" s="345">
        <f t="shared" si="3"/>
        <v>0</v>
      </c>
      <c r="P26" s="345">
        <f t="shared" si="3"/>
        <v>0</v>
      </c>
      <c r="Q26" s="345">
        <f t="shared" si="3"/>
        <v>0</v>
      </c>
      <c r="R26" s="345">
        <f t="shared" si="3"/>
        <v>0</v>
      </c>
      <c r="S26" s="345">
        <f t="shared" si="3"/>
        <v>0</v>
      </c>
      <c r="T26" s="345">
        <f t="shared" si="3"/>
        <v>0</v>
      </c>
      <c r="U26" s="345">
        <f t="shared" si="3"/>
        <v>0</v>
      </c>
      <c r="V26" s="345">
        <f t="shared" si="3"/>
        <v>0</v>
      </c>
      <c r="W26" s="345">
        <f t="shared" si="3"/>
        <v>0</v>
      </c>
      <c r="X26" s="345">
        <f t="shared" si="3"/>
        <v>0</v>
      </c>
      <c r="Y26" s="345">
        <f t="shared" si="3"/>
        <v>0</v>
      </c>
      <c r="Z26" s="345">
        <f t="shared" si="3"/>
        <v>0</v>
      </c>
      <c r="AA26" s="345">
        <f t="shared" si="3"/>
        <v>0</v>
      </c>
      <c r="AB26" s="345">
        <f t="shared" si="3"/>
        <v>0</v>
      </c>
      <c r="AC26" s="345">
        <f t="shared" si="3"/>
        <v>0</v>
      </c>
      <c r="AD26" s="345">
        <f t="shared" si="3"/>
        <v>0</v>
      </c>
      <c r="AE26" s="345">
        <f t="shared" si="3"/>
        <v>0</v>
      </c>
      <c r="AF26" s="345">
        <f t="shared" si="3"/>
        <v>0</v>
      </c>
      <c r="AG26" s="451">
        <f t="shared" si="3"/>
        <v>0</v>
      </c>
      <c r="AH26" s="393"/>
    </row>
    <row r="27" spans="1:34" ht="20.100000000000001" customHeight="1">
      <c r="A27" s="351" t="s">
        <v>528</v>
      </c>
      <c r="B27" s="276" t="s">
        <v>534</v>
      </c>
      <c r="C27" s="137" t="s">
        <v>405</v>
      </c>
      <c r="D27" s="445">
        <f>IF(ISBLANK(D14),0,INDEX(Reference!$C$20:$C$37,MATCH(D$14,Reference!$F$20:$F$37,0)))</f>
        <v>0</v>
      </c>
      <c r="E27" s="446">
        <f>IF(ISBLANK(E14),0,INDEX(Reference!$C$20:$C$37,MATCH(E$14,Reference!$F$20:$F$37,0)))</f>
        <v>0</v>
      </c>
      <c r="F27" s="446">
        <f>IF(ISBLANK(F14),0,INDEX(Reference!$C$20:$C$37,MATCH(F$14,Reference!$F$20:$F$37,0)))</f>
        <v>0</v>
      </c>
      <c r="G27" s="446">
        <f>IF(ISBLANK(G14),0,INDEX(Reference!$C$20:$C$37,MATCH(G$14,Reference!$F$20:$F$37,0)))</f>
        <v>0</v>
      </c>
      <c r="H27" s="446">
        <f>IF(ISBLANK(H14),0,INDEX(Reference!$C$20:$C$37,MATCH(H$14,Reference!$F$20:$F$37,0)))</f>
        <v>0</v>
      </c>
      <c r="I27" s="446">
        <f>IF(ISBLANK(I14),0,INDEX(Reference!$C$20:$C$37,MATCH(I$14,Reference!$F$20:$F$37,0)))</f>
        <v>0</v>
      </c>
      <c r="J27" s="446">
        <f>IF(ISBLANK(J14),0,INDEX(Reference!$C$20:$C$37,MATCH(J$14,Reference!$F$20:$F$37,0)))</f>
        <v>0</v>
      </c>
      <c r="K27" s="446">
        <f>IF(ISBLANK(K14),0,INDEX(Reference!$C$20:$C$37,MATCH(K$14,Reference!$F$20:$F$37,0)))</f>
        <v>0</v>
      </c>
      <c r="L27" s="446">
        <f>IF(ISBLANK(L14),0,INDEX(Reference!$C$20:$C$37,MATCH(L$14,Reference!$F$20:$F$37,0)))</f>
        <v>0</v>
      </c>
      <c r="M27" s="446">
        <f>IF(ISBLANK(M14),0,INDEX(Reference!$C$20:$C$37,MATCH(M$14,Reference!$F$20:$F$37,0)))</f>
        <v>0</v>
      </c>
      <c r="N27" s="446">
        <f>IF(ISBLANK(N14),0,INDEX(Reference!$B$20:$B$37,MATCH(N$14,Reference!$F$20:$F$37,0)))</f>
        <v>0</v>
      </c>
      <c r="O27" s="446">
        <f>IF(ISBLANK(O14),0,INDEX(Reference!$B$20:$B$37,MATCH(O$14,Reference!$F$20:$F$37,0)))</f>
        <v>0</v>
      </c>
      <c r="P27" s="446">
        <f>IF(ISBLANK(P14),0,INDEX(Reference!$B$20:$B$37,MATCH(P$14,Reference!$F$20:$F$37,0)))</f>
        <v>0</v>
      </c>
      <c r="Q27" s="446">
        <f>IF(ISBLANK(Q14),0,INDEX(Reference!$B$20:$B$37,MATCH(Q$14,Reference!$F$20:$F$37,0)))</f>
        <v>0</v>
      </c>
      <c r="R27" s="452">
        <f>IF(ISBLANK(R14),0,INDEX(Reference!$B$20:$B$37,MATCH(R$14,Reference!$F$20:$F$37,0)))</f>
        <v>0</v>
      </c>
      <c r="S27" s="445">
        <f>IF(ISBLANK(S14),0,INDEX(Reference!$B$20:$B$37,MATCH(S$14,Reference!$F$20:$F$37,0)))</f>
        <v>0</v>
      </c>
      <c r="T27" s="446">
        <f>IF(ISBLANK(T14),0,INDEX(Reference!$B$20:$B$37,MATCH(T$14,Reference!$F$20:$F$37,0)))</f>
        <v>0</v>
      </c>
      <c r="U27" s="446">
        <f>IF(ISBLANK(U14),0,INDEX(Reference!$B$20:$B$37,MATCH(U$14,Reference!$F$20:$F$37,0)))</f>
        <v>0</v>
      </c>
      <c r="V27" s="446">
        <f>IF(ISBLANK(V14),0,INDEX(Reference!$B$20:$B$37,MATCH(V$14,Reference!$F$20:$F$37,0)))</f>
        <v>0</v>
      </c>
      <c r="W27" s="446">
        <f>IF(ISBLANK(W14),0,INDEX(Reference!$B$20:$B$37,MATCH(W$14,Reference!$F$20:$F$37,0)))</f>
        <v>0</v>
      </c>
      <c r="X27" s="446">
        <f>IF(ISBLANK(X14),0,INDEX(Reference!$B$20:$B$37,MATCH(X$14,Reference!$F$20:$F$37,0)))</f>
        <v>0</v>
      </c>
      <c r="Y27" s="446">
        <f>IF(ISBLANK(Y14),0,INDEX(Reference!$B$20:$B$37,MATCH(Y$14,Reference!$F$20:$F$37,0)))</f>
        <v>0</v>
      </c>
      <c r="Z27" s="446">
        <f>IF(ISBLANK(Z14),0,INDEX(Reference!$B$20:$B$37,MATCH(Z$14,Reference!$F$20:$F$37,0)))</f>
        <v>0</v>
      </c>
      <c r="AA27" s="446">
        <f>IF(ISBLANK(AA14),0,INDEX(Reference!$B$20:$B$37,MATCH(AA$14,Reference!$F$20:$F$37,0)))</f>
        <v>0</v>
      </c>
      <c r="AB27" s="446">
        <f>IF(ISBLANK(AB14),0,INDEX(Reference!$B$20:$B$37,MATCH(AB$14,Reference!$F$20:$F$37,0)))</f>
        <v>0</v>
      </c>
      <c r="AC27" s="446">
        <f>IF(ISBLANK(AC14),0,INDEX(Reference!$B$20:$B$37,MATCH(AC$14,Reference!$F$20:$F$37,0)))</f>
        <v>0</v>
      </c>
      <c r="AD27" s="446">
        <f>IF(ISBLANK(AD14),0,INDEX(Reference!$B$20:$B$37,MATCH(AD$14,Reference!$F$20:$F$37,0)))</f>
        <v>0</v>
      </c>
      <c r="AE27" s="446">
        <f>IF(ISBLANK(AE14),0,INDEX(Reference!$B$20:$B$37,MATCH(AE$14,Reference!$F$20:$F$37,0)))</f>
        <v>0</v>
      </c>
      <c r="AF27" s="446">
        <f>IF(ISBLANK(AF14),0,INDEX(Reference!$B$20:$B$37,MATCH(AF$14,Reference!$F$20:$F$37,0)))</f>
        <v>0</v>
      </c>
      <c r="AG27" s="447">
        <f>IF(ISBLANK(AG14),0,INDEX(Reference!$B$20:$B$37,MATCH(AG$14,Reference!$F$20:$F$37,0)))</f>
        <v>0</v>
      </c>
      <c r="AH27" s="393"/>
    </row>
    <row r="28" spans="1:34" ht="20.100000000000001" customHeight="1">
      <c r="A28" s="284" t="str">
        <f>A27</f>
        <v>PM10</v>
      </c>
      <c r="B28" s="277" t="s">
        <v>868</v>
      </c>
      <c r="C28" s="135" t="s">
        <v>34</v>
      </c>
      <c r="D28" s="448">
        <f>D27*D$15*D$18*(1-D$23)</f>
        <v>0</v>
      </c>
      <c r="E28" s="343">
        <f t="shared" ref="E28:AG28" si="4">E27*E$15*E$18*(1-E$23)</f>
        <v>0</v>
      </c>
      <c r="F28" s="343">
        <f t="shared" si="4"/>
        <v>0</v>
      </c>
      <c r="G28" s="343">
        <f t="shared" si="4"/>
        <v>0</v>
      </c>
      <c r="H28" s="343">
        <f t="shared" si="4"/>
        <v>0</v>
      </c>
      <c r="I28" s="343">
        <f t="shared" si="4"/>
        <v>0</v>
      </c>
      <c r="J28" s="343">
        <f t="shared" si="4"/>
        <v>0</v>
      </c>
      <c r="K28" s="343">
        <f t="shared" si="4"/>
        <v>0</v>
      </c>
      <c r="L28" s="343">
        <f t="shared" si="4"/>
        <v>0</v>
      </c>
      <c r="M28" s="343">
        <f t="shared" si="4"/>
        <v>0</v>
      </c>
      <c r="N28" s="343">
        <f t="shared" si="4"/>
        <v>0</v>
      </c>
      <c r="O28" s="343">
        <f t="shared" si="4"/>
        <v>0</v>
      </c>
      <c r="P28" s="343">
        <f t="shared" si="4"/>
        <v>0</v>
      </c>
      <c r="Q28" s="343">
        <f t="shared" si="4"/>
        <v>0</v>
      </c>
      <c r="R28" s="453">
        <f t="shared" si="4"/>
        <v>0</v>
      </c>
      <c r="S28" s="448">
        <f t="shared" si="4"/>
        <v>0</v>
      </c>
      <c r="T28" s="343">
        <f t="shared" si="4"/>
        <v>0</v>
      </c>
      <c r="U28" s="343">
        <f t="shared" si="4"/>
        <v>0</v>
      </c>
      <c r="V28" s="343">
        <f t="shared" si="4"/>
        <v>0</v>
      </c>
      <c r="W28" s="343">
        <f t="shared" si="4"/>
        <v>0</v>
      </c>
      <c r="X28" s="343">
        <f t="shared" si="4"/>
        <v>0</v>
      </c>
      <c r="Y28" s="343">
        <f t="shared" si="4"/>
        <v>0</v>
      </c>
      <c r="Z28" s="343">
        <f t="shared" si="4"/>
        <v>0</v>
      </c>
      <c r="AA28" s="343">
        <f t="shared" si="4"/>
        <v>0</v>
      </c>
      <c r="AB28" s="343">
        <f t="shared" si="4"/>
        <v>0</v>
      </c>
      <c r="AC28" s="343">
        <f t="shared" si="4"/>
        <v>0</v>
      </c>
      <c r="AD28" s="343">
        <f t="shared" si="4"/>
        <v>0</v>
      </c>
      <c r="AE28" s="343">
        <f t="shared" si="4"/>
        <v>0</v>
      </c>
      <c r="AF28" s="343">
        <f t="shared" si="4"/>
        <v>0</v>
      </c>
      <c r="AG28" s="449">
        <f t="shared" si="4"/>
        <v>0</v>
      </c>
      <c r="AH28" s="393"/>
    </row>
    <row r="29" spans="1:34" ht="20.100000000000001" customHeight="1" thickBot="1">
      <c r="A29" s="353" t="str">
        <f>A28</f>
        <v>PM10</v>
      </c>
      <c r="B29" s="278" t="s">
        <v>869</v>
      </c>
      <c r="C29" s="136" t="s">
        <v>35</v>
      </c>
      <c r="D29" s="454">
        <f>D27*D$16*D$18/2000*(1-D$23)</f>
        <v>0</v>
      </c>
      <c r="E29" s="344">
        <f t="shared" ref="E29:AG29" si="5">E27*E$16*E$18/2000*(1-E$23)</f>
        <v>0</v>
      </c>
      <c r="F29" s="344">
        <f t="shared" si="5"/>
        <v>0</v>
      </c>
      <c r="G29" s="344">
        <f t="shared" si="5"/>
        <v>0</v>
      </c>
      <c r="H29" s="344">
        <f t="shared" si="5"/>
        <v>0</v>
      </c>
      <c r="I29" s="344">
        <f t="shared" si="5"/>
        <v>0</v>
      </c>
      <c r="J29" s="344">
        <f t="shared" si="5"/>
        <v>0</v>
      </c>
      <c r="K29" s="344">
        <f t="shared" si="5"/>
        <v>0</v>
      </c>
      <c r="L29" s="344">
        <f t="shared" si="5"/>
        <v>0</v>
      </c>
      <c r="M29" s="344">
        <f t="shared" si="5"/>
        <v>0</v>
      </c>
      <c r="N29" s="344">
        <f t="shared" si="5"/>
        <v>0</v>
      </c>
      <c r="O29" s="344">
        <f t="shared" si="5"/>
        <v>0</v>
      </c>
      <c r="P29" s="344">
        <f t="shared" si="5"/>
        <v>0</v>
      </c>
      <c r="Q29" s="344">
        <f t="shared" si="5"/>
        <v>0</v>
      </c>
      <c r="R29" s="455">
        <f t="shared" si="5"/>
        <v>0</v>
      </c>
      <c r="S29" s="454">
        <f t="shared" si="5"/>
        <v>0</v>
      </c>
      <c r="T29" s="344">
        <f t="shared" si="5"/>
        <v>0</v>
      </c>
      <c r="U29" s="344">
        <f t="shared" si="5"/>
        <v>0</v>
      </c>
      <c r="V29" s="344">
        <f t="shared" si="5"/>
        <v>0</v>
      </c>
      <c r="W29" s="344">
        <f t="shared" si="5"/>
        <v>0</v>
      </c>
      <c r="X29" s="344">
        <f t="shared" si="5"/>
        <v>0</v>
      </c>
      <c r="Y29" s="344">
        <f t="shared" si="5"/>
        <v>0</v>
      </c>
      <c r="Z29" s="344">
        <f t="shared" si="5"/>
        <v>0</v>
      </c>
      <c r="AA29" s="344">
        <f t="shared" si="5"/>
        <v>0</v>
      </c>
      <c r="AB29" s="344">
        <f t="shared" si="5"/>
        <v>0</v>
      </c>
      <c r="AC29" s="344">
        <f t="shared" si="5"/>
        <v>0</v>
      </c>
      <c r="AD29" s="344">
        <f t="shared" si="5"/>
        <v>0</v>
      </c>
      <c r="AE29" s="344">
        <f t="shared" si="5"/>
        <v>0</v>
      </c>
      <c r="AF29" s="344">
        <f t="shared" si="5"/>
        <v>0</v>
      </c>
      <c r="AG29" s="456">
        <f t="shared" si="5"/>
        <v>0</v>
      </c>
      <c r="AH29" s="393"/>
    </row>
    <row r="30" spans="1:34" ht="20.100000000000001" customHeight="1">
      <c r="A30" s="350" t="s">
        <v>529</v>
      </c>
      <c r="B30" s="279" t="s">
        <v>530</v>
      </c>
      <c r="C30" s="137" t="s">
        <v>405</v>
      </c>
      <c r="D30" s="446">
        <f>IF(ISBLANK(D14),0,INDEX(Reference!$D$20:$D$37,MATCH(D$14,Reference!$F$20:$F$37,0)))</f>
        <v>0</v>
      </c>
      <c r="E30" s="457">
        <f>IF(ISBLANK(E14),0,INDEX(Reference!$D$20:$D$37,MATCH(E$14,Reference!$F$20:$F$37,0)))</f>
        <v>0</v>
      </c>
      <c r="F30" s="457">
        <f>IF(ISBLANK(F14),0,INDEX(Reference!$D$20:$D$37,MATCH(F$14,Reference!$F$20:$F$37,0)))</f>
        <v>0</v>
      </c>
      <c r="G30" s="457">
        <f>IF(ISBLANK(G14),0,INDEX(Reference!$D$20:$D$37,MATCH(G$14,Reference!$F$20:$F$37,0)))</f>
        <v>0</v>
      </c>
      <c r="H30" s="457">
        <f>IF(ISBLANK(H14),0,INDEX(Reference!$D$20:$D$37,MATCH(H$14,Reference!$F$20:$F$37,0)))</f>
        <v>0</v>
      </c>
      <c r="I30" s="457">
        <f>IF(ISBLANK(I14),0,INDEX(Reference!$D$20:$D$37,MATCH(I$14,Reference!$F$20:$F$37,0)))</f>
        <v>0</v>
      </c>
      <c r="J30" s="457">
        <f>IF(ISBLANK(J14),0,INDEX(Reference!$D$20:$D$37,MATCH(J$14,Reference!$F$20:$F$37,0)))</f>
        <v>0</v>
      </c>
      <c r="K30" s="457">
        <f>IF(ISBLANK(K14),0,INDEX(Reference!$D$20:$D$37,MATCH(K$14,Reference!$F$20:$F$37,0)))</f>
        <v>0</v>
      </c>
      <c r="L30" s="457">
        <f>IF(ISBLANK(L14),0,INDEX(Reference!$D$20:$D$37,MATCH(L$14,Reference!$F$20:$F$37,0)))</f>
        <v>0</v>
      </c>
      <c r="M30" s="457">
        <f>IF(ISBLANK(M14),0,INDEX(Reference!$D$20:$D$37,MATCH(M$14,Reference!$F$20:$F$37,0)))</f>
        <v>0</v>
      </c>
      <c r="N30" s="457">
        <f>IF(ISBLANK(N14),0,INDEX(Reference!$B$20:$B$37,MATCH(N$14,Reference!$F$20:$F$37,0)))</f>
        <v>0</v>
      </c>
      <c r="O30" s="457">
        <f>IF(ISBLANK(O14),0,INDEX(Reference!$B$20:$B$37,MATCH(O$14,Reference!$F$20:$F$37,0)))</f>
        <v>0</v>
      </c>
      <c r="P30" s="457">
        <f>IF(ISBLANK(P14),0,INDEX(Reference!$B$20:$B$37,MATCH(P$14,Reference!$F$20:$F$37,0)))</f>
        <v>0</v>
      </c>
      <c r="Q30" s="457">
        <f>IF(ISBLANK(Q14),0,INDEX(Reference!$B$20:$B$37,MATCH(Q$14,Reference!$F$20:$F$37,0)))</f>
        <v>0</v>
      </c>
      <c r="R30" s="457">
        <f>IF(ISBLANK(R14),0,INDEX(Reference!$B$20:$B$37,MATCH(R$14,Reference!$F$20:$F$37,0)))</f>
        <v>0</v>
      </c>
      <c r="S30" s="457">
        <f>IF(ISBLANK(S14),0,INDEX(Reference!$B$20:$B$37,MATCH(S$14,Reference!$F$20:$F$37,0)))</f>
        <v>0</v>
      </c>
      <c r="T30" s="457">
        <f>IF(ISBLANK(T14),0,INDEX(Reference!$B$20:$B$37,MATCH(T$14,Reference!$F$20:$F$37,0)))</f>
        <v>0</v>
      </c>
      <c r="U30" s="457">
        <f>IF(ISBLANK(U14),0,INDEX(Reference!$B$20:$B$37,MATCH(U$14,Reference!$F$20:$F$37,0)))</f>
        <v>0</v>
      </c>
      <c r="V30" s="457">
        <f>IF(ISBLANK(V14),0,INDEX(Reference!$B$20:$B$37,MATCH(V$14,Reference!$F$20:$F$37,0)))</f>
        <v>0</v>
      </c>
      <c r="W30" s="457">
        <f>IF(ISBLANK(W14),0,INDEX(Reference!$B$20:$B$37,MATCH(W$14,Reference!$F$20:$F$37,0)))</f>
        <v>0</v>
      </c>
      <c r="X30" s="457">
        <f>IF(ISBLANK(X14),0,INDEX(Reference!$B$20:$B$37,MATCH(X$14,Reference!$F$20:$F$37,0)))</f>
        <v>0</v>
      </c>
      <c r="Y30" s="457">
        <f>IF(ISBLANK(Y14),0,INDEX(Reference!$B$20:$B$37,MATCH(Y$14,Reference!$F$20:$F$37,0)))</f>
        <v>0</v>
      </c>
      <c r="Z30" s="457">
        <f>IF(ISBLANK(Z14),0,INDEX(Reference!$B$20:$B$37,MATCH(Z$14,Reference!$F$20:$F$37,0)))</f>
        <v>0</v>
      </c>
      <c r="AA30" s="457">
        <f>IF(ISBLANK(AA14),0,INDEX(Reference!$B$20:$B$37,MATCH(AA$14,Reference!$F$20:$F$37,0)))</f>
        <v>0</v>
      </c>
      <c r="AB30" s="457">
        <f>IF(ISBLANK(AB14),0,INDEX(Reference!$B$20:$B$37,MATCH(AB$14,Reference!$F$20:$F$37,0)))</f>
        <v>0</v>
      </c>
      <c r="AC30" s="457">
        <f>IF(ISBLANK(AC14),0,INDEX(Reference!$B$20:$B$37,MATCH(AC$14,Reference!$F$20:$F$37,0)))</f>
        <v>0</v>
      </c>
      <c r="AD30" s="457">
        <f>IF(ISBLANK(AD14),0,INDEX(Reference!$B$20:$B$37,MATCH(AD$14,Reference!$F$20:$F$37,0)))</f>
        <v>0</v>
      </c>
      <c r="AE30" s="457">
        <f>IF(ISBLANK(AE14),0,INDEX(Reference!$B$20:$B$37,MATCH(AE$14,Reference!$F$20:$F$37,0)))</f>
        <v>0</v>
      </c>
      <c r="AF30" s="457">
        <f>IF(ISBLANK(AF14),0,INDEX(Reference!$B$20:$B$37,MATCH(AF$14,Reference!$F$20:$F$37,0)))</f>
        <v>0</v>
      </c>
      <c r="AG30" s="458">
        <f>IF(ISBLANK(AG14),0,INDEX(Reference!$B$20:$B$37,MATCH(AG$14,Reference!$F$20:$F$37,0)))</f>
        <v>0</v>
      </c>
      <c r="AH30" s="393"/>
    </row>
    <row r="31" spans="1:34" ht="20.100000000000001" customHeight="1">
      <c r="A31" s="284" t="str">
        <f>A30</f>
        <v>PM2.5</v>
      </c>
      <c r="B31" s="273" t="s">
        <v>531</v>
      </c>
      <c r="C31" s="135" t="s">
        <v>34</v>
      </c>
      <c r="D31" s="343">
        <f>D30*D$15*D$18*(1-D$23)</f>
        <v>0</v>
      </c>
      <c r="E31" s="343">
        <f t="shared" ref="E31:AG31" si="6">E30*E$15*E$18*(1-E$23)</f>
        <v>0</v>
      </c>
      <c r="F31" s="343">
        <f t="shared" si="6"/>
        <v>0</v>
      </c>
      <c r="G31" s="343">
        <f t="shared" si="6"/>
        <v>0</v>
      </c>
      <c r="H31" s="343">
        <f t="shared" si="6"/>
        <v>0</v>
      </c>
      <c r="I31" s="343">
        <f t="shared" si="6"/>
        <v>0</v>
      </c>
      <c r="J31" s="343">
        <f t="shared" si="6"/>
        <v>0</v>
      </c>
      <c r="K31" s="343">
        <f t="shared" si="6"/>
        <v>0</v>
      </c>
      <c r="L31" s="343">
        <f t="shared" si="6"/>
        <v>0</v>
      </c>
      <c r="M31" s="343">
        <f t="shared" si="6"/>
        <v>0</v>
      </c>
      <c r="N31" s="343">
        <f t="shared" si="6"/>
        <v>0</v>
      </c>
      <c r="O31" s="343">
        <f t="shared" si="6"/>
        <v>0</v>
      </c>
      <c r="P31" s="343">
        <f t="shared" si="6"/>
        <v>0</v>
      </c>
      <c r="Q31" s="343">
        <f t="shared" si="6"/>
        <v>0</v>
      </c>
      <c r="R31" s="343">
        <f t="shared" si="6"/>
        <v>0</v>
      </c>
      <c r="S31" s="343">
        <f t="shared" si="6"/>
        <v>0</v>
      </c>
      <c r="T31" s="343">
        <f t="shared" si="6"/>
        <v>0</v>
      </c>
      <c r="U31" s="343">
        <f t="shared" si="6"/>
        <v>0</v>
      </c>
      <c r="V31" s="343">
        <f t="shared" si="6"/>
        <v>0</v>
      </c>
      <c r="W31" s="343">
        <f t="shared" si="6"/>
        <v>0</v>
      </c>
      <c r="X31" s="343">
        <f t="shared" si="6"/>
        <v>0</v>
      </c>
      <c r="Y31" s="343">
        <f t="shared" si="6"/>
        <v>0</v>
      </c>
      <c r="Z31" s="343">
        <f t="shared" si="6"/>
        <v>0</v>
      </c>
      <c r="AA31" s="343">
        <f t="shared" si="6"/>
        <v>0</v>
      </c>
      <c r="AB31" s="343">
        <f t="shared" si="6"/>
        <v>0</v>
      </c>
      <c r="AC31" s="343">
        <f t="shared" si="6"/>
        <v>0</v>
      </c>
      <c r="AD31" s="343">
        <f t="shared" si="6"/>
        <v>0</v>
      </c>
      <c r="AE31" s="343">
        <f t="shared" si="6"/>
        <v>0</v>
      </c>
      <c r="AF31" s="343">
        <f t="shared" si="6"/>
        <v>0</v>
      </c>
      <c r="AG31" s="449">
        <f t="shared" si="6"/>
        <v>0</v>
      </c>
      <c r="AH31" s="393"/>
    </row>
    <row r="32" spans="1:34" ht="20.100000000000001" customHeight="1" thickBot="1">
      <c r="A32" s="284" t="str">
        <f>A31</f>
        <v>PM2.5</v>
      </c>
      <c r="B32" s="280" t="s">
        <v>532</v>
      </c>
      <c r="C32" s="141" t="s">
        <v>35</v>
      </c>
      <c r="D32" s="345">
        <f>D30*D$16*D$18/2000*(1-D$23)</f>
        <v>0</v>
      </c>
      <c r="E32" s="345">
        <f t="shared" ref="E32:AG32" si="7">E30*E$16*E$18/2000*(1-E$23)</f>
        <v>0</v>
      </c>
      <c r="F32" s="345">
        <f t="shared" si="7"/>
        <v>0</v>
      </c>
      <c r="G32" s="345">
        <f t="shared" si="7"/>
        <v>0</v>
      </c>
      <c r="H32" s="345">
        <f t="shared" si="7"/>
        <v>0</v>
      </c>
      <c r="I32" s="345">
        <f t="shared" si="7"/>
        <v>0</v>
      </c>
      <c r="J32" s="345">
        <f t="shared" si="7"/>
        <v>0</v>
      </c>
      <c r="K32" s="345">
        <f t="shared" si="7"/>
        <v>0</v>
      </c>
      <c r="L32" s="345">
        <f t="shared" si="7"/>
        <v>0</v>
      </c>
      <c r="M32" s="345">
        <f t="shared" si="7"/>
        <v>0</v>
      </c>
      <c r="N32" s="345">
        <f t="shared" si="7"/>
        <v>0</v>
      </c>
      <c r="O32" s="345">
        <f t="shared" si="7"/>
        <v>0</v>
      </c>
      <c r="P32" s="345">
        <f t="shared" si="7"/>
        <v>0</v>
      </c>
      <c r="Q32" s="345">
        <f t="shared" si="7"/>
        <v>0</v>
      </c>
      <c r="R32" s="345">
        <f t="shared" si="7"/>
        <v>0</v>
      </c>
      <c r="S32" s="345">
        <f t="shared" si="7"/>
        <v>0</v>
      </c>
      <c r="T32" s="345">
        <f t="shared" si="7"/>
        <v>0</v>
      </c>
      <c r="U32" s="345">
        <f t="shared" si="7"/>
        <v>0</v>
      </c>
      <c r="V32" s="345">
        <f t="shared" si="7"/>
        <v>0</v>
      </c>
      <c r="W32" s="345">
        <f t="shared" si="7"/>
        <v>0</v>
      </c>
      <c r="X32" s="345">
        <f t="shared" si="7"/>
        <v>0</v>
      </c>
      <c r="Y32" s="345">
        <f t="shared" si="7"/>
        <v>0</v>
      </c>
      <c r="Z32" s="345">
        <f t="shared" si="7"/>
        <v>0</v>
      </c>
      <c r="AA32" s="345">
        <f t="shared" si="7"/>
        <v>0</v>
      </c>
      <c r="AB32" s="345">
        <f t="shared" si="7"/>
        <v>0</v>
      </c>
      <c r="AC32" s="345">
        <f t="shared" si="7"/>
        <v>0</v>
      </c>
      <c r="AD32" s="345">
        <f t="shared" si="7"/>
        <v>0</v>
      </c>
      <c r="AE32" s="345">
        <f t="shared" si="7"/>
        <v>0</v>
      </c>
      <c r="AF32" s="345">
        <f t="shared" si="7"/>
        <v>0</v>
      </c>
      <c r="AG32" s="451">
        <f t="shared" si="7"/>
        <v>0</v>
      </c>
      <c r="AH32" s="393"/>
    </row>
    <row r="33" spans="1:34" ht="30" customHeight="1" thickBot="1">
      <c r="A33" s="270" t="s">
        <v>455</v>
      </c>
      <c r="B33" s="270" t="s">
        <v>934</v>
      </c>
      <c r="C33" s="383" t="s">
        <v>99</v>
      </c>
      <c r="D33" s="527"/>
      <c r="E33" s="528"/>
      <c r="F33" s="528"/>
      <c r="G33" s="528"/>
      <c r="H33" s="528"/>
      <c r="I33" s="528"/>
      <c r="J33" s="528"/>
      <c r="K33" s="528"/>
      <c r="L33" s="528"/>
      <c r="M33" s="528"/>
      <c r="N33" s="384"/>
      <c r="O33" s="384"/>
      <c r="P33" s="384"/>
      <c r="Q33" s="384"/>
      <c r="R33" s="384"/>
      <c r="S33" s="384"/>
      <c r="T33" s="384"/>
      <c r="U33" s="384"/>
      <c r="V33" s="384"/>
      <c r="W33" s="384"/>
      <c r="X33" s="384"/>
      <c r="Y33" s="384"/>
      <c r="Z33" s="384"/>
      <c r="AA33" s="384"/>
      <c r="AB33" s="384"/>
      <c r="AC33" s="384"/>
      <c r="AD33" s="384"/>
      <c r="AE33" s="384"/>
      <c r="AF33" s="384"/>
      <c r="AG33" s="390"/>
      <c r="AH33" s="393"/>
    </row>
    <row r="34" spans="1:34" ht="8.1" customHeight="1"/>
    <row r="35" spans="1:34">
      <c r="A35" s="690" t="str">
        <f>HYPERLINK("#ii.drop","End of Sheet. Click here to go to the next sheet.")</f>
        <v>End of Sheet. Click here to go to the next sheet.</v>
      </c>
      <c r="B35" s="644"/>
      <c r="C35" s="644"/>
      <c r="D35" s="644"/>
    </row>
    <row r="40" spans="1:34" s="223" customFormat="1" ht="16.5" hidden="1" customHeight="1">
      <c r="A40" s="131" t="s">
        <v>925</v>
      </c>
      <c r="B40" s="222" t="s">
        <v>859</v>
      </c>
      <c r="C40" s="221">
        <v>0</v>
      </c>
      <c r="D40" s="223">
        <f t="shared" ref="D40:AG40" si="8">IF(ISBLANK(D10),C40,C40+1)</f>
        <v>0</v>
      </c>
      <c r="E40" s="223">
        <f t="shared" si="8"/>
        <v>0</v>
      </c>
      <c r="F40" s="223">
        <f t="shared" si="8"/>
        <v>0</v>
      </c>
      <c r="G40" s="223">
        <f t="shared" si="8"/>
        <v>0</v>
      </c>
      <c r="H40" s="223">
        <f t="shared" si="8"/>
        <v>0</v>
      </c>
      <c r="I40" s="223">
        <f t="shared" si="8"/>
        <v>0</v>
      </c>
      <c r="J40" s="223">
        <f t="shared" si="8"/>
        <v>0</v>
      </c>
      <c r="K40" s="223">
        <f t="shared" si="8"/>
        <v>0</v>
      </c>
      <c r="L40" s="223">
        <f t="shared" si="8"/>
        <v>0</v>
      </c>
      <c r="M40" s="223">
        <f t="shared" si="8"/>
        <v>0</v>
      </c>
      <c r="N40" s="223">
        <f t="shared" si="8"/>
        <v>0</v>
      </c>
      <c r="O40" s="223">
        <f t="shared" si="8"/>
        <v>0</v>
      </c>
      <c r="P40" s="223">
        <f t="shared" si="8"/>
        <v>0</v>
      </c>
      <c r="Q40" s="223">
        <f t="shared" si="8"/>
        <v>0</v>
      </c>
      <c r="R40" s="223">
        <f t="shared" si="8"/>
        <v>0</v>
      </c>
      <c r="S40" s="223">
        <f t="shared" si="8"/>
        <v>0</v>
      </c>
      <c r="T40" s="223">
        <f t="shared" si="8"/>
        <v>0</v>
      </c>
      <c r="U40" s="223">
        <f t="shared" si="8"/>
        <v>0</v>
      </c>
      <c r="V40" s="223">
        <f t="shared" si="8"/>
        <v>0</v>
      </c>
      <c r="W40" s="223">
        <f t="shared" si="8"/>
        <v>0</v>
      </c>
      <c r="X40" s="223">
        <f t="shared" si="8"/>
        <v>0</v>
      </c>
      <c r="Y40" s="223">
        <f t="shared" si="8"/>
        <v>0</v>
      </c>
      <c r="Z40" s="223">
        <f t="shared" si="8"/>
        <v>0</v>
      </c>
      <c r="AA40" s="223">
        <f t="shared" si="8"/>
        <v>0</v>
      </c>
      <c r="AB40" s="223">
        <f t="shared" si="8"/>
        <v>0</v>
      </c>
      <c r="AC40" s="223">
        <f t="shared" si="8"/>
        <v>0</v>
      </c>
      <c r="AD40" s="223">
        <f t="shared" si="8"/>
        <v>0</v>
      </c>
      <c r="AE40" s="223">
        <f t="shared" si="8"/>
        <v>0</v>
      </c>
      <c r="AF40" s="223">
        <f t="shared" si="8"/>
        <v>0</v>
      </c>
      <c r="AG40" s="223">
        <f t="shared" si="8"/>
        <v>0</v>
      </c>
    </row>
    <row r="41" spans="1:34" s="226" customFormat="1" hidden="1">
      <c r="A41" s="131" t="s">
        <v>929</v>
      </c>
      <c r="B41" s="131" t="s">
        <v>957</v>
      </c>
      <c r="D41" s="226">
        <f t="shared" ref="D41:E41" si="9">IF(RIGHT(D19,1)="*",1,0)</f>
        <v>0</v>
      </c>
      <c r="E41" s="226">
        <f t="shared" si="9"/>
        <v>0</v>
      </c>
      <c r="F41" s="226">
        <f t="shared" ref="F41:AG41" si="10">IF(RIGHT(F19,1)="*",1,0)</f>
        <v>0</v>
      </c>
      <c r="G41" s="226">
        <f t="shared" si="10"/>
        <v>0</v>
      </c>
      <c r="H41" s="226">
        <f t="shared" si="10"/>
        <v>0</v>
      </c>
      <c r="I41" s="226">
        <f t="shared" si="10"/>
        <v>0</v>
      </c>
      <c r="J41" s="226">
        <f t="shared" si="10"/>
        <v>0</v>
      </c>
      <c r="K41" s="226">
        <f t="shared" si="10"/>
        <v>0</v>
      </c>
      <c r="L41" s="226">
        <f t="shared" si="10"/>
        <v>0</v>
      </c>
      <c r="M41" s="226">
        <f t="shared" si="10"/>
        <v>0</v>
      </c>
      <c r="N41" s="226">
        <f t="shared" si="10"/>
        <v>0</v>
      </c>
      <c r="O41" s="226">
        <f t="shared" si="10"/>
        <v>0</v>
      </c>
      <c r="P41" s="226">
        <f t="shared" si="10"/>
        <v>0</v>
      </c>
      <c r="Q41" s="226">
        <f t="shared" si="10"/>
        <v>0</v>
      </c>
      <c r="R41" s="226">
        <f t="shared" si="10"/>
        <v>0</v>
      </c>
      <c r="S41" s="226">
        <f t="shared" si="10"/>
        <v>0</v>
      </c>
      <c r="T41" s="226">
        <f t="shared" si="10"/>
        <v>0</v>
      </c>
      <c r="U41" s="226">
        <f t="shared" si="10"/>
        <v>0</v>
      </c>
      <c r="V41" s="226">
        <f t="shared" si="10"/>
        <v>0</v>
      </c>
      <c r="W41" s="226">
        <f t="shared" si="10"/>
        <v>0</v>
      </c>
      <c r="X41" s="226">
        <f t="shared" si="10"/>
        <v>0</v>
      </c>
      <c r="Y41" s="226">
        <f t="shared" si="10"/>
        <v>0</v>
      </c>
      <c r="Z41" s="226">
        <f t="shared" si="10"/>
        <v>0</v>
      </c>
      <c r="AA41" s="226">
        <f t="shared" si="10"/>
        <v>0</v>
      </c>
      <c r="AB41" s="226">
        <f t="shared" si="10"/>
        <v>0</v>
      </c>
      <c r="AC41" s="226">
        <f t="shared" si="10"/>
        <v>0</v>
      </c>
      <c r="AD41" s="226">
        <f t="shared" si="10"/>
        <v>0</v>
      </c>
      <c r="AE41" s="226">
        <f t="shared" si="10"/>
        <v>0</v>
      </c>
      <c r="AF41" s="226">
        <f t="shared" si="10"/>
        <v>0</v>
      </c>
      <c r="AG41" s="226">
        <f t="shared" si="10"/>
        <v>0</v>
      </c>
    </row>
    <row r="42" spans="1:34" s="226" customFormat="1" hidden="1">
      <c r="A42" s="131" t="s">
        <v>929</v>
      </c>
      <c r="B42" s="226" t="s">
        <v>937</v>
      </c>
      <c r="D42" s="226">
        <f>IF(OR(D19=Reference!$A$56,D19=Reference!$A$58),1,0)</f>
        <v>0</v>
      </c>
      <c r="E42" s="226">
        <f>IF(OR(E19=Reference!$A$56,E19=Reference!$A$58),1,0)</f>
        <v>0</v>
      </c>
      <c r="F42" s="226">
        <f>IF(OR(F19=Reference!$A$56,F19=Reference!$A$58),1,0)</f>
        <v>0</v>
      </c>
      <c r="G42" s="226">
        <f>IF(OR(G19=Reference!$A$56,G19=Reference!$A$58),1,0)</f>
        <v>0</v>
      </c>
      <c r="H42" s="226">
        <f>IF(OR(H19=Reference!$A$56,H19=Reference!$A$58),1,0)</f>
        <v>0</v>
      </c>
      <c r="I42" s="226">
        <f>IF(OR(I19=Reference!$A$56,I19=Reference!$A$58),1,0)</f>
        <v>0</v>
      </c>
      <c r="J42" s="226">
        <f>IF(OR(J19=Reference!$A$56,J19=Reference!$A$58),1,0)</f>
        <v>0</v>
      </c>
      <c r="K42" s="226">
        <f>IF(OR(K19=Reference!$A$56,K19=Reference!$A$58),1,0)</f>
        <v>0</v>
      </c>
      <c r="L42" s="226">
        <f>IF(OR(L19=Reference!$A$56,L19=Reference!$A$58),1,0)</f>
        <v>0</v>
      </c>
      <c r="M42" s="226">
        <f>IF(OR(M19=Reference!$A$56,M19=Reference!$A$58),1,0)</f>
        <v>0</v>
      </c>
      <c r="N42" s="226">
        <f>IF(OR(N19=Reference!$A$56,N19=Reference!$A$58),1,0)</f>
        <v>0</v>
      </c>
      <c r="O42" s="226">
        <f>IF(OR(O19=Reference!$A$56,O19=Reference!$A$58),1,0)</f>
        <v>0</v>
      </c>
      <c r="P42" s="226">
        <f>IF(OR(P19=Reference!$A$56,P19=Reference!$A$58),1,0)</f>
        <v>0</v>
      </c>
      <c r="Q42" s="226">
        <f>IF(OR(Q19=Reference!$A$56,Q19=Reference!$A$58),1,0)</f>
        <v>0</v>
      </c>
      <c r="R42" s="226">
        <f>IF(OR(R19=Reference!$A$56,R19=Reference!$A$58),1,0)</f>
        <v>0</v>
      </c>
      <c r="S42" s="226">
        <f>IF(OR(S19=Reference!$A$56,S19=Reference!$A$58),1,0)</f>
        <v>0</v>
      </c>
      <c r="T42" s="226">
        <f>IF(OR(T19=Reference!$A$56,T19=Reference!$A$58),1,0)</f>
        <v>0</v>
      </c>
      <c r="U42" s="226">
        <f>IF(OR(U19=Reference!$A$56,U19=Reference!$A$58),1,0)</f>
        <v>0</v>
      </c>
      <c r="V42" s="226">
        <f>IF(OR(V19=Reference!$A$56,V19=Reference!$A$58),1,0)</f>
        <v>0</v>
      </c>
      <c r="W42" s="226">
        <f>IF(OR(W19=Reference!$A$56,W19=Reference!$A$58),1,0)</f>
        <v>0</v>
      </c>
      <c r="X42" s="226">
        <f>IF(OR(X19=Reference!$A$56,X19=Reference!$A$58),1,0)</f>
        <v>0</v>
      </c>
      <c r="Y42" s="226">
        <f>IF(OR(Y19=Reference!$A$56,Y19=Reference!$A$58),1,0)</f>
        <v>0</v>
      </c>
      <c r="Z42" s="226">
        <f>IF(OR(Z19=Reference!$A$56,Z19=Reference!$A$58),1,0)</f>
        <v>0</v>
      </c>
      <c r="AA42" s="226">
        <f>IF(OR(AA19=Reference!$A$56,AA19=Reference!$A$58),1,0)</f>
        <v>0</v>
      </c>
      <c r="AB42" s="226">
        <f>IF(OR(AB19=Reference!$A$56,AB19=Reference!$A$58),1,0)</f>
        <v>0</v>
      </c>
      <c r="AC42" s="226">
        <f>IF(OR(AC19=Reference!$A$56,AC19=Reference!$A$58),1,0)</f>
        <v>0</v>
      </c>
      <c r="AD42" s="226">
        <f>IF(OR(AD19=Reference!$A$56,AD19=Reference!$A$58),1,0)</f>
        <v>0</v>
      </c>
      <c r="AE42" s="226">
        <f>IF(OR(AE19=Reference!$A$56,AE19=Reference!$A$58),1,0)</f>
        <v>0</v>
      </c>
      <c r="AF42" s="226">
        <f>IF(OR(AF19=Reference!$A$56,AF19=Reference!$A$58),1,0)</f>
        <v>0</v>
      </c>
      <c r="AG42" s="226">
        <f>IF(OR(AG19=Reference!$A$56,AG19=Reference!$A$58),1,0)</f>
        <v>0</v>
      </c>
    </row>
    <row r="43" spans="1:34" s="226" customFormat="1" hidden="1">
      <c r="A43" s="131" t="s">
        <v>929</v>
      </c>
      <c r="B43" s="226" t="s">
        <v>450</v>
      </c>
      <c r="D43" s="226">
        <f>IFERROR(IF(AND(INDEX(Reference!$E$20:$E$37,MATCH(D14,Reference!$F$20:$F$37,0))="Y",INDEX(Reference!$D$50:$D$58,MATCH(D19,Reference!$A$50:$A$58,0))="Y"),"Y",0),0)</f>
        <v>0</v>
      </c>
      <c r="E43" s="226">
        <f>IFERROR(IF(AND(INDEX(Reference!$E$20:$E$37,MATCH(E14,Reference!$F$20:$F$37,0))="Y",INDEX(Reference!$D$50:$D$58,MATCH(E19,Reference!$A$50:$A$58,0))="Y"),"Y",0),0)</f>
        <v>0</v>
      </c>
      <c r="F43" s="226">
        <f>IFERROR(IF(AND(INDEX(Reference!$E$20:$E$37,MATCH(F14,Reference!$F$20:$F$37,0))="Y",INDEX(Reference!$D$50:$D$58,MATCH(F19,Reference!$A$50:$A$58,0))="Y"),"Y",0),0)</f>
        <v>0</v>
      </c>
      <c r="G43" s="226">
        <f>IFERROR(IF(AND(INDEX(Reference!$E$20:$E$37,MATCH(G14,Reference!$F$20:$F$37,0))="Y",INDEX(Reference!$D$50:$D$58,MATCH(G19,Reference!$A$50:$A$58,0))="Y"),"Y",0),0)</f>
        <v>0</v>
      </c>
      <c r="H43" s="226">
        <f>IFERROR(IF(AND(INDEX(Reference!$E$20:$E$37,MATCH(H14,Reference!$F$20:$F$37,0))="Y",INDEX(Reference!$D$50:$D$58,MATCH(H19,Reference!$A$50:$A$58,0))="Y"),"Y",0),0)</f>
        <v>0</v>
      </c>
      <c r="I43" s="226">
        <f>IFERROR(IF(AND(INDEX(Reference!$E$20:$E$37,MATCH(I14,Reference!$F$20:$F$37,0))="Y",INDEX(Reference!$D$50:$D$58,MATCH(I19,Reference!$A$50:$A$58,0))="Y"),"Y",0),0)</f>
        <v>0</v>
      </c>
      <c r="J43" s="226">
        <f>IFERROR(IF(AND(INDEX(Reference!$E$20:$E$37,MATCH(J14,Reference!$F$20:$F$37,0))="Y",INDEX(Reference!$D$50:$D$58,MATCH(J19,Reference!$A$50:$A$58,0))="Y"),"Y",0),0)</f>
        <v>0</v>
      </c>
      <c r="K43" s="226">
        <f>IFERROR(IF(AND(INDEX(Reference!$E$20:$E$37,MATCH(K14,Reference!$F$20:$F$37,0))="Y",INDEX(Reference!$D$50:$D$58,MATCH(K19,Reference!$A$50:$A$58,0))="Y"),"Y",0),0)</f>
        <v>0</v>
      </c>
      <c r="L43" s="226">
        <f>IFERROR(IF(AND(INDEX(Reference!$E$20:$E$37,MATCH(L14,Reference!$F$20:$F$37,0))="Y",INDEX(Reference!$D$50:$D$58,MATCH(L19,Reference!$A$50:$A$58,0))="Y"),"Y",0),0)</f>
        <v>0</v>
      </c>
      <c r="M43" s="226">
        <f>IFERROR(IF(AND(INDEX(Reference!$E$20:$E$37,MATCH(M14,Reference!$F$20:$F$37,0))="Y",INDEX(Reference!$D$50:$D$58,MATCH(M19,Reference!$A$50:$A$58,0))="Y"),"Y",0),0)</f>
        <v>0</v>
      </c>
      <c r="N43" s="226">
        <f>IFERROR(IF(AND(INDEX(Reference!$E$20:$E$37,MATCH(N14,Reference!$F$20:$F$37,0))="Y",INDEX(Reference!$D$50:$D$58,MATCH(N19,Reference!$A$50:$A$58,0))="Y"),"Y",0),0)</f>
        <v>0</v>
      </c>
      <c r="O43" s="226">
        <f>IFERROR(IF(AND(INDEX(Reference!$E$20:$E$37,MATCH(O14,Reference!$F$20:$F$37,0))="Y",INDEX(Reference!$D$50:$D$58,MATCH(O19,Reference!$A$50:$A$58,0))="Y"),"Y",0),0)</f>
        <v>0</v>
      </c>
      <c r="P43" s="226">
        <f>IFERROR(IF(AND(INDEX(Reference!$E$20:$E$37,MATCH(P14,Reference!$F$20:$F$37,0))="Y",INDEX(Reference!$D$50:$D$58,MATCH(P19,Reference!$A$50:$A$58,0))="Y"),"Y",0),0)</f>
        <v>0</v>
      </c>
      <c r="Q43" s="226">
        <f>IFERROR(IF(AND(INDEX(Reference!$E$20:$E$37,MATCH(Q14,Reference!$F$20:$F$37,0))="Y",INDEX(Reference!$D$50:$D$58,MATCH(Q19,Reference!$A$50:$A$58,0))="Y"),"Y",0),0)</f>
        <v>0</v>
      </c>
      <c r="R43" s="226">
        <f>IFERROR(IF(AND(INDEX(Reference!$E$20:$E$37,MATCH(R14,Reference!$F$20:$F$37,0))="Y",INDEX(Reference!$D$50:$D$58,MATCH(R19,Reference!$A$50:$A$58,0))="Y"),"Y",0),0)</f>
        <v>0</v>
      </c>
      <c r="S43" s="226">
        <f>IFERROR(IF(AND(INDEX(Reference!$E$20:$E$37,MATCH(S14,Reference!$F$20:$F$37,0))="Y",INDEX(Reference!$D$50:$D$58,MATCH(S19,Reference!$A$50:$A$58,0))="Y"),"Y",0),0)</f>
        <v>0</v>
      </c>
      <c r="T43" s="226">
        <f>IFERROR(IF(AND(INDEX(Reference!$E$20:$E$37,MATCH(T14,Reference!$F$20:$F$37,0))="Y",INDEX(Reference!$D$50:$D$58,MATCH(T19,Reference!$A$50:$A$58,0))="Y"),"Y",0),0)</f>
        <v>0</v>
      </c>
      <c r="U43" s="226">
        <f>IFERROR(IF(AND(INDEX(Reference!$E$20:$E$37,MATCH(U14,Reference!$F$20:$F$37,0))="Y",INDEX(Reference!$D$50:$D$58,MATCH(U19,Reference!$A$50:$A$58,0))="Y"),"Y",0),0)</f>
        <v>0</v>
      </c>
      <c r="V43" s="226">
        <f>IFERROR(IF(AND(INDEX(Reference!$E$20:$E$37,MATCH(V14,Reference!$F$20:$F$37,0))="Y",INDEX(Reference!$D$50:$D$58,MATCH(V19,Reference!$A$50:$A$58,0))="Y"),"Y",0),0)</f>
        <v>0</v>
      </c>
      <c r="W43" s="226">
        <f>IFERROR(IF(AND(INDEX(Reference!$E$20:$E$37,MATCH(W14,Reference!$F$20:$F$37,0))="Y",INDEX(Reference!$D$50:$D$58,MATCH(W19,Reference!$A$50:$A$58,0))="Y"),"Y",0),0)</f>
        <v>0</v>
      </c>
      <c r="X43" s="226">
        <f>IFERROR(IF(AND(INDEX(Reference!$E$20:$E$37,MATCH(X14,Reference!$F$20:$F$37,0))="Y",INDEX(Reference!$D$50:$D$58,MATCH(X19,Reference!$A$50:$A$58,0))="Y"),"Y",0),0)</f>
        <v>0</v>
      </c>
      <c r="Y43" s="226">
        <f>IFERROR(IF(AND(INDEX(Reference!$E$20:$E$37,MATCH(Y14,Reference!$F$20:$F$37,0))="Y",INDEX(Reference!$D$50:$D$58,MATCH(Y19,Reference!$A$50:$A$58,0))="Y"),"Y",0),0)</f>
        <v>0</v>
      </c>
      <c r="Z43" s="226">
        <f>IFERROR(IF(AND(INDEX(Reference!$E$20:$E$37,MATCH(Z14,Reference!$F$20:$F$37,0))="Y",INDEX(Reference!$D$50:$D$58,MATCH(Z19,Reference!$A$50:$A$58,0))="Y"),"Y",0),0)</f>
        <v>0</v>
      </c>
      <c r="AA43" s="226">
        <f>IFERROR(IF(AND(INDEX(Reference!$E$20:$E$37,MATCH(AA14,Reference!$F$20:$F$37,0))="Y",INDEX(Reference!$D$50:$D$58,MATCH(AA19,Reference!$A$50:$A$58,0))="Y"),"Y",0),0)</f>
        <v>0</v>
      </c>
      <c r="AB43" s="226">
        <f>IFERROR(IF(AND(INDEX(Reference!$E$20:$E$37,MATCH(AB14,Reference!$F$20:$F$37,0))="Y",INDEX(Reference!$D$50:$D$58,MATCH(AB19,Reference!$A$50:$A$58,0))="Y"),"Y",0),0)</f>
        <v>0</v>
      </c>
      <c r="AC43" s="226">
        <f>IFERROR(IF(AND(INDEX(Reference!$E$20:$E$37,MATCH(AC14,Reference!$F$20:$F$37,0))="Y",INDEX(Reference!$D$50:$D$58,MATCH(AC19,Reference!$A$50:$A$58,0))="Y"),"Y",0),0)</f>
        <v>0</v>
      </c>
      <c r="AD43" s="226">
        <f>IFERROR(IF(AND(INDEX(Reference!$E$20:$E$37,MATCH(AD14,Reference!$F$20:$F$37,0))="Y",INDEX(Reference!$D$50:$D$58,MATCH(AD19,Reference!$A$50:$A$58,0))="Y"),"Y",0),0)</f>
        <v>0</v>
      </c>
      <c r="AE43" s="226">
        <f>IFERROR(IF(AND(INDEX(Reference!$E$20:$E$37,MATCH(AE14,Reference!$F$20:$F$37,0))="Y",INDEX(Reference!$D$50:$D$58,MATCH(AE19,Reference!$A$50:$A$58,0))="Y"),"Y",0),0)</f>
        <v>0</v>
      </c>
      <c r="AF43" s="226">
        <f>IFERROR(IF(AND(INDEX(Reference!$E$20:$E$37,MATCH(AF14,Reference!$F$20:$F$37,0))="Y",INDEX(Reference!$D$50:$D$58,MATCH(AF19,Reference!$A$50:$A$58,0))="Y"),"Y",0),0)</f>
        <v>0</v>
      </c>
      <c r="AG43" s="226">
        <f>IFERROR(IF(AND(INDEX(Reference!$E$20:$E$37,MATCH(AG14,Reference!$F$20:$F$37,0))="Y",INDEX(Reference!$D$50:$D$58,MATCH(AG19,Reference!$A$50:$A$58,0))="Y"),"Y",0),0)</f>
        <v>0</v>
      </c>
    </row>
    <row r="65"/>
    <row r="67" ht="15" hidden="1" customHeight="1"/>
  </sheetData>
  <sheetProtection algorithmName="SHA-512" hashValue="bnxSMxnB3qdCvS0ItPXSp3JstY3dIcCMcPyMJ8dxeZyrXocGyxyJqSlDRPYuSYGiI0a6GK2SYUIWZkgyM5Ddgw==" saltValue="Ivlrsm2CWkYMrnL/BIwyGQ==" spinCount="100000" sheet="1" objects="1" scenarios="1" formatColumns="0" formatRows="0" autoFilter="0"/>
  <mergeCells count="6">
    <mergeCell ref="A35:D35"/>
    <mergeCell ref="A1:M1"/>
    <mergeCell ref="A2:M2"/>
    <mergeCell ref="A3:M3"/>
    <mergeCell ref="A6:M6"/>
    <mergeCell ref="A4:M4"/>
  </mergeCells>
  <phoneticPr fontId="50" type="noConversion"/>
  <conditionalFormatting sqref="D15:AG17">
    <cfRule type="expression" dxfId="23" priority="1">
      <formula>AND(D$17&lt;&gt;"",D$16&gt;D$15*D$17)</formula>
    </cfRule>
  </conditionalFormatting>
  <conditionalFormatting sqref="D19:AG19">
    <cfRule type="expression" dxfId="22" priority="28">
      <formula>D43="Y"</formula>
    </cfRule>
  </conditionalFormatting>
  <conditionalFormatting sqref="D21:AG21">
    <cfRule type="expression" dxfId="21" priority="29">
      <formula>D$42=0</formula>
    </cfRule>
  </conditionalFormatting>
  <conditionalFormatting sqref="D21:AG22">
    <cfRule type="expression" dxfId="20" priority="27">
      <formula>D$41=0</formula>
    </cfRule>
  </conditionalFormatting>
  <dataValidations count="11">
    <dataValidation type="decimal" allowBlank="1" showInputMessage="1" showErrorMessage="1" sqref="D23:AG23 D20:AG20" xr:uid="{F8C69956-34CC-4689-A7DB-FA469B3D3AFC}">
      <formula1>0</formula1>
      <formula2>1</formula2>
    </dataValidation>
    <dataValidation allowBlank="1" showErrorMessage="1" promptTitle="General" prompt="Enter the emission description for the source in this column." sqref="D12:AG12" xr:uid="{543579E0-2941-4F78-BA6C-B5ED8D6BF1B9}"/>
    <dataValidation allowBlank="1" showErrorMessage="1" promptTitle="General" prompt="Enter the hourly throughput rate in tons per hour for the source in this column." sqref="D15:AG15" xr:uid="{468533A8-0FF4-47C9-AE90-4EC2A7801D65}"/>
    <dataValidation allowBlank="1" showErrorMessage="1" promptTitle="General" prompt="Enter the annual throughput rate in tons per year for the source in this column." sqref="D16:AG17" xr:uid="{DDC8DF2F-B622-44A3-96FC-CB06E94CEEA1}"/>
    <dataValidation allowBlank="1" showErrorMessage="1" promptTitle="General" prompt="Enter the number of like points for the source in this column." sqref="D18:AG18" xr:uid="{B915173E-BFA1-4136-88BB-CCDB4706A24F}"/>
    <dataValidation type="decimal" allowBlank="1" showErrorMessage="1" promptTitle="General" prompt="Enter the specified control for partial enclosure or other control method for the source in this column." sqref="D21:AG21" xr:uid="{0AFD80ED-EBA7-4E1A-AF33-BF87010A994C}">
      <formula1>0</formula1>
      <formula2>1</formula2>
    </dataValidation>
    <dataValidation type="list" allowBlank="1" showErrorMessage="1" promptTitle="General" prompt="Select from the drop down list if justifciation and supporting documentation are attached for the source in this column." sqref="D22:AG22" xr:uid="{EDE35DD9-0424-48B7-B104-173F5D75D77B}">
      <formula1>"Yes"</formula1>
    </dataValidation>
    <dataValidation allowBlank="1" showInputMessage="1" showErrorMessage="1" promptTitle="Helper Row: Code" prompt="This code is the epn counter- it keeps track of populated progresively through the calc sheets for the [Emission Summary]tab" sqref="A40" xr:uid="{1B25ADAA-8A3E-4D59-8353-B6387B4D35EF}"/>
    <dataValidation allowBlank="1" showInputMessage="1" showErrorMessage="1" promptTitle="Helper Row: Code" prompt="This code is the Partial Encosure Logic Conditional Formating_x000a_" sqref="A41:A43" xr:uid="{ACE14317-7636-4402-BC1D-3A15046C75ED}"/>
    <dataValidation type="textLength" errorStyle="information" operator="lessThanOrEqual" allowBlank="1" showErrorMessage="1" errorTitle="EPN Too Long" error="The Emission Point Number (EPN) must be 10 characters or fewer in length." promptTitle="General" prompt="Emission Point Number (EPN)" sqref="D10:AG10" xr:uid="{5F0250A2-4953-4BFC-AC6B-D4FA0C15FF64}">
      <formula1>10</formula1>
    </dataValidation>
    <dataValidation type="textLength" errorStyle="warning" operator="lessThanOrEqual" allowBlank="1" showErrorMessage="1" errorTitle="FIN Too Long" error="The Facility Information Number (FIN) must be 10 characters or fewer in length." promptTitle="General" prompt="Facility Identification Number (FIN)" sqref="D11:AG11" xr:uid="{379A992B-8ACE-4CE8-96DA-0553C6BA06DD}">
      <formula1>10</formula1>
    </dataValidation>
  </dataValidations>
  <hyperlinks>
    <hyperlink ref="A4" r:id="rId1" xr:uid="{049115F0-9B8D-41D6-93F9-5C81AD63BE6D}"/>
  </hyperlinks>
  <pageMargins left="0.7" right="0.7" top="0.75" bottom="0.75" header="0.3" footer="0.3"/>
  <pageSetup orientation="landscape" r:id="rId2"/>
  <tableParts count="1">
    <tablePart r:id="rId3"/>
  </tableParts>
  <extLst>
    <ext xmlns:x14="http://schemas.microsoft.com/office/spreadsheetml/2009/9/main" uri="{CCE6A557-97BC-4b89-ADB6-D9C93CAAB3DF}">
      <x14:dataValidations xmlns:xm="http://schemas.microsoft.com/office/excel/2006/main" count="3">
        <x14:dataValidation type="list" allowBlank="1" showErrorMessage="1" promptTitle="General" prompt="Select from the drop down menu the emission type for the source in this column." xr:uid="{4D4611E1-76CA-4E68-8681-43BE4A31B218}">
          <x14:formula1>
            <xm:f>Reference!$F$28:$F$37</xm:f>
          </x14:formula1>
          <xm:sqref>D14:AG14</xm:sqref>
        </x14:dataValidation>
        <x14:dataValidation type="list" allowBlank="1" showErrorMessage="1" promptTitle="General" prompt="Select from the drop down list the autorizing rule for the source in this column." xr:uid="{468C674D-85DD-4170-91E2-B5AEAF048348}">
          <x14:formula1>
            <xm:f>Reference!$A$62:$A$70</xm:f>
          </x14:formula1>
          <xm:sqref>D13:AG13</xm:sqref>
        </x14:dataValidation>
        <x14:dataValidation type="list" allowBlank="1" showErrorMessage="1" promptTitle="General" prompt="Select from the drop down list the emission control method used for the source in this column." xr:uid="{76A84879-14BC-44F7-9414-C857C1EE0109}">
          <x14:formula1>
            <xm:f>Reference!$A$51:$A$58</xm:f>
          </x14:formula1>
          <xm:sqref>D19:AG19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AE16B-7CE7-4A4C-BBC6-9F395EB7BC9C}">
  <sheetPr codeName="Sheet7">
    <tabColor rgb="FFFFFFCC"/>
  </sheetPr>
  <dimension ref="A1:AF44"/>
  <sheetViews>
    <sheetView showGridLines="0" workbookViewId="0">
      <selection sqref="A1:M1"/>
    </sheetView>
  </sheetViews>
  <sheetFormatPr defaultColWidth="0" defaultRowHeight="14.25" zeroHeight="1"/>
  <cols>
    <col min="1" max="1" width="13.140625" style="131" customWidth="1"/>
    <col min="2" max="2" width="22.7109375" style="131" customWidth="1"/>
    <col min="3" max="3" width="9.7109375" style="131" customWidth="1"/>
    <col min="4" max="13" width="12.7109375" style="131" customWidth="1"/>
    <col min="14" max="14" width="2.7109375" style="131" customWidth="1"/>
    <col min="15" max="15" width="9.140625" style="131" hidden="1" customWidth="1"/>
    <col min="16" max="32" width="14.7109375" style="131" hidden="1" customWidth="1"/>
    <col min="33" max="16384" width="9.140625" style="131" hidden="1"/>
  </cols>
  <sheetData>
    <row r="1" spans="1:15" ht="18.75" customHeight="1" thickBot="1">
      <c r="A1" s="678" t="s">
        <v>1058</v>
      </c>
      <c r="B1" s="653"/>
      <c r="C1" s="653"/>
      <c r="D1" s="653"/>
      <c r="E1" s="653"/>
      <c r="F1" s="653"/>
      <c r="G1" s="653"/>
      <c r="H1" s="653"/>
      <c r="I1" s="653"/>
      <c r="J1" s="653"/>
      <c r="K1" s="653"/>
      <c r="L1" s="653"/>
      <c r="M1" s="654"/>
    </row>
    <row r="2" spans="1:15" s="386" customFormat="1" ht="75.75" customHeight="1">
      <c r="A2" s="692" t="s">
        <v>1059</v>
      </c>
      <c r="B2" s="693"/>
      <c r="C2" s="693"/>
      <c r="D2" s="693"/>
      <c r="E2" s="693"/>
      <c r="F2" s="693"/>
      <c r="G2" s="693"/>
      <c r="H2" s="693"/>
      <c r="I2" s="693"/>
      <c r="J2" s="694"/>
      <c r="K2" s="694"/>
      <c r="L2" s="694"/>
      <c r="M2" s="695"/>
    </row>
    <row r="3" spans="1:15" s="386" customFormat="1" ht="15" customHeight="1">
      <c r="A3" s="700" t="s">
        <v>1028</v>
      </c>
      <c r="B3" s="644"/>
      <c r="C3" s="644"/>
      <c r="D3" s="644"/>
      <c r="E3" s="644"/>
      <c r="F3" s="644"/>
      <c r="G3" s="644"/>
      <c r="H3" s="644"/>
      <c r="I3" s="644"/>
      <c r="J3" s="644"/>
      <c r="K3" s="644"/>
      <c r="L3" s="644"/>
      <c r="M3" s="629"/>
    </row>
    <row r="4" spans="1:15" s="386" customFormat="1" ht="15" customHeight="1">
      <c r="A4" s="685" t="s">
        <v>871</v>
      </c>
      <c r="B4" s="644"/>
      <c r="C4" s="644"/>
      <c r="D4" s="644"/>
      <c r="E4" s="644"/>
      <c r="F4" s="644"/>
      <c r="G4" s="644"/>
      <c r="H4" s="644"/>
      <c r="I4" s="644"/>
      <c r="J4" s="644"/>
      <c r="K4" s="644"/>
      <c r="L4" s="644"/>
      <c r="M4" s="629"/>
    </row>
    <row r="5" spans="1:15" s="386" customFormat="1" ht="15" customHeight="1">
      <c r="A5" s="474"/>
      <c r="B5" s="131"/>
      <c r="C5" s="131"/>
      <c r="D5" s="131"/>
      <c r="E5" s="131"/>
      <c r="F5" s="131"/>
      <c r="G5" s="131"/>
      <c r="H5" s="131"/>
      <c r="I5" s="131"/>
      <c r="J5" s="131"/>
      <c r="K5" s="131"/>
      <c r="L5" s="131"/>
      <c r="M5" s="399"/>
    </row>
    <row r="6" spans="1:15" s="386" customFormat="1" ht="80.25" customHeight="1" thickBot="1">
      <c r="A6" s="696" t="s">
        <v>1057</v>
      </c>
      <c r="B6" s="697"/>
      <c r="C6" s="697"/>
      <c r="D6" s="697"/>
      <c r="E6" s="697"/>
      <c r="F6" s="697"/>
      <c r="G6" s="697"/>
      <c r="H6" s="697"/>
      <c r="I6" s="697"/>
      <c r="J6" s="698"/>
      <c r="K6" s="698"/>
      <c r="L6" s="698"/>
      <c r="M6" s="699"/>
    </row>
    <row r="7" spans="1:15" ht="15" thickBot="1">
      <c r="B7" s="644"/>
      <c r="C7" s="644"/>
      <c r="D7" s="644"/>
    </row>
    <row r="8" spans="1:15" ht="20.100000000000001" customHeight="1" thickBot="1">
      <c r="A8" s="314" t="s">
        <v>947</v>
      </c>
      <c r="B8" s="341"/>
      <c r="C8" s="299"/>
      <c r="D8" s="299"/>
      <c r="E8" s="299"/>
      <c r="F8" s="299"/>
      <c r="G8" s="299"/>
      <c r="H8" s="299"/>
      <c r="I8" s="299"/>
      <c r="J8" s="299"/>
      <c r="K8" s="299"/>
      <c r="L8" s="299"/>
    </row>
    <row r="9" spans="1:15" ht="20.100000000000001" customHeight="1" thickBot="1">
      <c r="A9" s="142" t="s">
        <v>948</v>
      </c>
      <c r="B9" s="354"/>
      <c r="C9" s="299"/>
      <c r="D9" s="299"/>
      <c r="E9" s="299"/>
      <c r="F9" s="299"/>
      <c r="G9" s="299"/>
      <c r="H9" s="299"/>
      <c r="I9" s="299"/>
      <c r="J9" s="299"/>
      <c r="K9" s="299"/>
      <c r="L9" s="299"/>
    </row>
    <row r="10" spans="1:15" ht="15" thickBot="1">
      <c r="A10" s="340"/>
      <c r="B10" s="299"/>
      <c r="C10" s="299"/>
      <c r="D10" s="299"/>
      <c r="E10" s="299"/>
      <c r="F10" s="299"/>
      <c r="G10" s="299"/>
      <c r="H10" s="299"/>
      <c r="I10" s="299"/>
      <c r="J10" s="299"/>
      <c r="K10" s="299"/>
      <c r="L10" s="299"/>
    </row>
    <row r="11" spans="1:15" s="129" customFormat="1" ht="20.100000000000001" customHeight="1" thickBot="1">
      <c r="A11" s="476" t="s">
        <v>949</v>
      </c>
      <c r="B11" s="127"/>
      <c r="C11" s="128"/>
      <c r="D11" s="127"/>
      <c r="E11" s="127"/>
      <c r="F11" s="127"/>
      <c r="G11" s="127"/>
      <c r="H11" s="127"/>
      <c r="I11" s="127"/>
      <c r="J11" s="127"/>
      <c r="K11" s="127"/>
      <c r="L11" s="127"/>
      <c r="M11" s="519"/>
      <c r="O11" s="126"/>
    </row>
    <row r="12" spans="1:15" s="299" customFormat="1" ht="20.100000000000001" customHeight="1" thickBot="1">
      <c r="A12" s="302" t="s">
        <v>457</v>
      </c>
      <c r="B12" s="303" t="s">
        <v>449</v>
      </c>
      <c r="C12" s="300" t="s">
        <v>149</v>
      </c>
      <c r="D12" s="298" t="s">
        <v>460</v>
      </c>
      <c r="E12" s="298" t="s">
        <v>461</v>
      </c>
      <c r="F12" s="298" t="s">
        <v>462</v>
      </c>
      <c r="G12" s="298" t="s">
        <v>463</v>
      </c>
      <c r="H12" s="298" t="s">
        <v>464</v>
      </c>
      <c r="I12" s="298" t="s">
        <v>465</v>
      </c>
      <c r="J12" s="298" t="s">
        <v>466</v>
      </c>
      <c r="K12" s="298" t="s">
        <v>467</v>
      </c>
      <c r="L12" s="298" t="s">
        <v>468</v>
      </c>
      <c r="M12" s="298" t="s">
        <v>469</v>
      </c>
    </row>
    <row r="13" spans="1:15" ht="20.100000000000001" customHeight="1">
      <c r="A13" s="315" t="s">
        <v>458</v>
      </c>
      <c r="B13" s="287" t="s">
        <v>354</v>
      </c>
      <c r="C13" s="163" t="s">
        <v>99</v>
      </c>
      <c r="D13" s="546"/>
      <c r="E13" s="546"/>
      <c r="F13" s="546"/>
      <c r="G13" s="546"/>
      <c r="H13" s="546"/>
      <c r="I13" s="546"/>
      <c r="J13" s="546"/>
      <c r="K13" s="546"/>
      <c r="L13" s="546"/>
      <c r="M13" s="546"/>
    </row>
    <row r="14" spans="1:15" ht="20.100000000000001" customHeight="1">
      <c r="A14" s="316" t="str">
        <f>A13</f>
        <v>General</v>
      </c>
      <c r="B14" s="288" t="s">
        <v>482</v>
      </c>
      <c r="C14" s="317" t="s">
        <v>99</v>
      </c>
      <c r="D14" s="534"/>
      <c r="E14" s="534"/>
      <c r="F14" s="534"/>
      <c r="G14" s="534"/>
      <c r="H14" s="534"/>
      <c r="I14" s="534"/>
      <c r="J14" s="534"/>
      <c r="K14" s="534"/>
      <c r="L14" s="534"/>
      <c r="M14" s="534"/>
    </row>
    <row r="15" spans="1:15" ht="39.950000000000003" customHeight="1">
      <c r="A15" s="316" t="str">
        <f t="shared" ref="A15:A26" si="0">A14</f>
        <v>General</v>
      </c>
      <c r="B15" s="288" t="s">
        <v>1053</v>
      </c>
      <c r="C15" s="164" t="s">
        <v>99</v>
      </c>
      <c r="D15" s="306"/>
      <c r="E15" s="306"/>
      <c r="F15" s="306"/>
      <c r="G15" s="306"/>
      <c r="H15" s="306"/>
      <c r="I15" s="306"/>
      <c r="J15" s="306"/>
      <c r="K15" s="306"/>
      <c r="L15" s="306"/>
      <c r="M15" s="306"/>
    </row>
    <row r="16" spans="1:15" ht="20.100000000000001" customHeight="1">
      <c r="A16" s="316" t="str">
        <f t="shared" si="0"/>
        <v>General</v>
      </c>
      <c r="B16" s="288" t="s">
        <v>982</v>
      </c>
      <c r="C16" s="317" t="s">
        <v>99</v>
      </c>
      <c r="D16" s="307"/>
      <c r="E16" s="307"/>
      <c r="F16" s="307"/>
      <c r="G16" s="307"/>
      <c r="H16" s="307"/>
      <c r="I16" s="307"/>
      <c r="J16" s="307"/>
      <c r="K16" s="307"/>
      <c r="L16" s="307"/>
      <c r="M16" s="307"/>
    </row>
    <row r="17" spans="1:13" ht="20.100000000000001" customHeight="1">
      <c r="A17" s="316" t="str">
        <f t="shared" si="0"/>
        <v>General</v>
      </c>
      <c r="B17" s="319" t="s">
        <v>522</v>
      </c>
      <c r="C17" s="320" t="s">
        <v>475</v>
      </c>
      <c r="D17" s="306"/>
      <c r="E17" s="306"/>
      <c r="F17" s="306"/>
      <c r="G17" s="306"/>
      <c r="H17" s="306"/>
      <c r="I17" s="306"/>
      <c r="J17" s="306"/>
      <c r="K17" s="306"/>
      <c r="L17" s="306"/>
      <c r="M17" s="306"/>
    </row>
    <row r="18" spans="1:13" ht="20.100000000000001" customHeight="1">
      <c r="A18" s="316" t="str">
        <f t="shared" si="0"/>
        <v>General</v>
      </c>
      <c r="B18" s="319" t="s">
        <v>523</v>
      </c>
      <c r="C18" s="317" t="s">
        <v>35</v>
      </c>
      <c r="D18" s="321"/>
      <c r="E18" s="321"/>
      <c r="F18" s="321"/>
      <c r="G18" s="321"/>
      <c r="H18" s="321"/>
      <c r="I18" s="321"/>
      <c r="J18" s="321"/>
      <c r="K18" s="321"/>
      <c r="L18" s="321"/>
      <c r="M18" s="321"/>
    </row>
    <row r="19" spans="1:13" ht="20.100000000000001" customHeight="1">
      <c r="A19" s="316" t="str">
        <f t="shared" si="0"/>
        <v>General</v>
      </c>
      <c r="B19" s="319" t="s">
        <v>533</v>
      </c>
      <c r="C19" s="317" t="s">
        <v>476</v>
      </c>
      <c r="D19" s="615"/>
      <c r="E19" s="615"/>
      <c r="F19" s="615"/>
      <c r="G19" s="615"/>
      <c r="H19" s="615"/>
      <c r="I19" s="615"/>
      <c r="J19" s="615"/>
      <c r="K19" s="615"/>
      <c r="L19" s="615"/>
      <c r="M19" s="615"/>
    </row>
    <row r="20" spans="1:13" ht="20.100000000000001" customHeight="1">
      <c r="A20" s="322" t="str">
        <f t="shared" si="0"/>
        <v>General</v>
      </c>
      <c r="B20" s="288" t="s">
        <v>524</v>
      </c>
      <c r="C20" s="318" t="s">
        <v>406</v>
      </c>
      <c r="D20" s="575"/>
      <c r="E20" s="575"/>
      <c r="F20" s="575"/>
      <c r="G20" s="575"/>
      <c r="H20" s="575"/>
      <c r="I20" s="575"/>
      <c r="J20" s="575"/>
      <c r="K20" s="575"/>
      <c r="L20" s="575"/>
      <c r="M20" s="575"/>
    </row>
    <row r="21" spans="1:13" ht="20.100000000000001" customHeight="1">
      <c r="A21" s="316" t="str">
        <f t="shared" si="0"/>
        <v>General</v>
      </c>
      <c r="B21" s="319" t="s">
        <v>525</v>
      </c>
      <c r="C21" s="320" t="s">
        <v>99</v>
      </c>
      <c r="D21" s="306"/>
      <c r="E21" s="306"/>
      <c r="F21" s="306"/>
      <c r="G21" s="306"/>
      <c r="H21" s="306"/>
      <c r="I21" s="306"/>
      <c r="J21" s="306"/>
      <c r="K21" s="306"/>
      <c r="L21" s="306"/>
      <c r="M21" s="306"/>
    </row>
    <row r="22" spans="1:13" ht="45" customHeight="1">
      <c r="A22" s="316" t="str">
        <f t="shared" si="0"/>
        <v>General</v>
      </c>
      <c r="B22" s="319" t="s">
        <v>526</v>
      </c>
      <c r="C22" s="320" t="s">
        <v>99</v>
      </c>
      <c r="D22" s="323"/>
      <c r="E22" s="323"/>
      <c r="F22" s="323"/>
      <c r="G22" s="323"/>
      <c r="H22" s="323"/>
      <c r="I22" s="323"/>
      <c r="J22" s="323"/>
      <c r="K22" s="323"/>
      <c r="L22" s="323"/>
      <c r="M22" s="323"/>
    </row>
    <row r="23" spans="1:13" ht="20.100000000000001" customHeight="1">
      <c r="A23" s="316" t="str">
        <f t="shared" si="0"/>
        <v>General</v>
      </c>
      <c r="B23" s="324" t="s">
        <v>881</v>
      </c>
      <c r="C23" s="317" t="s">
        <v>406</v>
      </c>
      <c r="D23" s="459">
        <f>IF(OR(D11="y",ISBLANK(D22)),0,INDEX(Reference!$B$98:$B$107,MATCH(D22,Reference!$A$98:$A$107,0)))</f>
        <v>0</v>
      </c>
      <c r="E23" s="459">
        <f>IF(OR(E11="y",ISBLANK(E22)),0,INDEX(Reference!$B$98:$B$107,MATCH(E22,Reference!$A$98:$A$107,0)))</f>
        <v>0</v>
      </c>
      <c r="F23" s="459">
        <f>IF(OR(F11="y",ISBLANK(F22)),0,INDEX(Reference!$B$98:$B$107,MATCH(F22,Reference!$A$98:$A$107,0)))</f>
        <v>0</v>
      </c>
      <c r="G23" s="459">
        <f>IF(OR(G11="y",ISBLANK(G22)),0,INDEX(Reference!$B$98:$B$107,MATCH(G22,Reference!$A$98:$A$107,0)))</f>
        <v>0</v>
      </c>
      <c r="H23" s="459">
        <f>IF(OR(H11="y",ISBLANK(H22)),0,INDEX(Reference!$B$98:$B$107,MATCH(H22,Reference!$A$98:$A$107,0)))</f>
        <v>0</v>
      </c>
      <c r="I23" s="459">
        <f>IF(OR(I11="y",ISBLANK(I22)),0,INDEX(Reference!$B$98:$B$107,MATCH(I22,Reference!$A$98:$A$107,0)))</f>
        <v>0</v>
      </c>
      <c r="J23" s="459">
        <f>IF(OR(J11="y",ISBLANK(J22)),0,INDEX(Reference!$B$98:$B$107,MATCH(J22,Reference!$A$98:$A$107,0)))</f>
        <v>0</v>
      </c>
      <c r="K23" s="459">
        <f>IF(OR(K11="y",ISBLANK(K22)),0,INDEX(Reference!$B$98:$B$107,MATCH(K22,Reference!$A$98:$A$107,0)))</f>
        <v>0</v>
      </c>
      <c r="L23" s="459">
        <f>IF(OR(L11="y",ISBLANK(L22)),0,INDEX(Reference!$B$98:$B$107,MATCH(L22,Reference!$A$98:$A$107,0)))</f>
        <v>0</v>
      </c>
      <c r="M23" s="459">
        <f>IF(OR(M11="y",ISBLANK(M22)),0,INDEX(Reference!$B$98:$B$107,MATCH(M22,Reference!$A$98:$A$107,0)))</f>
        <v>0</v>
      </c>
    </row>
    <row r="24" spans="1:13" ht="20.100000000000001" customHeight="1">
      <c r="A24" s="316" t="str">
        <f t="shared" si="0"/>
        <v>General</v>
      </c>
      <c r="B24" s="319" t="s">
        <v>873</v>
      </c>
      <c r="C24" s="317" t="s">
        <v>406</v>
      </c>
      <c r="D24" s="308"/>
      <c r="E24" s="325"/>
      <c r="F24" s="325"/>
      <c r="G24" s="325"/>
      <c r="H24" s="325"/>
      <c r="I24" s="325"/>
      <c r="J24" s="325"/>
      <c r="K24" s="325"/>
      <c r="L24" s="325"/>
      <c r="M24" s="325"/>
    </row>
    <row r="25" spans="1:13" ht="45" customHeight="1">
      <c r="A25" s="326" t="str">
        <f t="shared" si="0"/>
        <v>General</v>
      </c>
      <c r="B25" s="319" t="s">
        <v>986</v>
      </c>
      <c r="C25" s="317" t="s">
        <v>99</v>
      </c>
      <c r="D25" s="308"/>
      <c r="E25" s="308"/>
      <c r="F25" s="308"/>
      <c r="G25" s="308"/>
      <c r="H25" s="308"/>
      <c r="I25" s="308"/>
      <c r="J25" s="308"/>
      <c r="K25" s="308"/>
      <c r="L25" s="308"/>
      <c r="M25" s="308"/>
    </row>
    <row r="26" spans="1:13" ht="20.100000000000001" customHeight="1" thickBot="1">
      <c r="A26" s="316" t="str">
        <f t="shared" si="0"/>
        <v>General</v>
      </c>
      <c r="B26" s="327" t="s">
        <v>527</v>
      </c>
      <c r="C26" s="328" t="s">
        <v>406</v>
      </c>
      <c r="D26" s="471">
        <f>IF(OR(D22=Reference!$A$56,D22=Reference!$A$58),D24,D23)</f>
        <v>0</v>
      </c>
      <c r="E26" s="471">
        <f>IF(OR(E22=Reference!$A$56,E22=Reference!$A$58),E24,E23)</f>
        <v>0</v>
      </c>
      <c r="F26" s="471">
        <f>IF(OR(F22=Reference!$A$56,F22=Reference!$A$58),F24,F23)</f>
        <v>0</v>
      </c>
      <c r="G26" s="471">
        <f>IF(OR(G22=Reference!$A$56,G22=Reference!$A$58),G24,G23)</f>
        <v>0</v>
      </c>
      <c r="H26" s="471">
        <f>IF(OR(H22=Reference!$A$56,H22=Reference!$A$58),H24,H23)</f>
        <v>0</v>
      </c>
      <c r="I26" s="471">
        <f>IF(OR(I22=Reference!$A$56,I22=Reference!$A$58),I24,I23)</f>
        <v>0</v>
      </c>
      <c r="J26" s="471">
        <f>IF(OR(J22=Reference!$A$56,J22=Reference!$A$58),J24,J23)</f>
        <v>0</v>
      </c>
      <c r="K26" s="471">
        <f>IF(OR(K22=Reference!$A$56,K22=Reference!$A$58),K24,K23)</f>
        <v>0</v>
      </c>
      <c r="L26" s="471">
        <f>IF(OR(L22=Reference!$A$56,L22=Reference!$A$58),L24,L23)</f>
        <v>0</v>
      </c>
      <c r="M26" s="471">
        <f>IF(OR(M22=Reference!$A$56,M22=Reference!$A$58),M24,M23)</f>
        <v>0</v>
      </c>
    </row>
    <row r="27" spans="1:13" ht="20.100000000000001" customHeight="1" thickBot="1">
      <c r="A27" s="329" t="s">
        <v>947</v>
      </c>
      <c r="B27" s="270" t="s">
        <v>963</v>
      </c>
      <c r="C27" s="269" t="s">
        <v>168</v>
      </c>
      <c r="D27" s="330" cm="1">
        <f t="array" ref="D27">IFERROR(INDEX(Reference!$P$116:$P$216,MATCH('Drop Point'!$B$9,Reference!$A$117:$A$216,0)+3),0)</f>
        <v>0</v>
      </c>
      <c r="E27" s="330" cm="1">
        <f t="array" ref="E27">IFERROR(INDEX(Reference!$P$116:$P$216,MATCH('Drop Point'!$B$9,Reference!$A$117:$A$216,0)+3),0)</f>
        <v>0</v>
      </c>
      <c r="F27" s="330" cm="1">
        <f t="array" ref="F27">IFERROR(INDEX(Reference!$P$116:$P$216,MATCH('Drop Point'!$B$9,Reference!$A$117:$A$216,0)+3),0)</f>
        <v>0</v>
      </c>
      <c r="G27" s="330" cm="1">
        <f t="array" ref="G27">IFERROR(INDEX(Reference!$P$116:$P$216,MATCH('Drop Point'!$B$9,Reference!$A$117:$A$216,0)+3),0)</f>
        <v>0</v>
      </c>
      <c r="H27" s="330" cm="1">
        <f t="array" ref="H27">IFERROR(INDEX(Reference!$P$116:$P$216,MATCH('Drop Point'!$B$9,Reference!$A$117:$A$216,0)+3),0)</f>
        <v>0</v>
      </c>
      <c r="I27" s="330" cm="1">
        <f t="array" ref="I27">IFERROR(INDEX(Reference!$P$116:$P$216,MATCH('Drop Point'!$B$9,Reference!$A$117:$A$216,0)+3),0)</f>
        <v>0</v>
      </c>
      <c r="J27" s="330" cm="1">
        <f t="array" ref="J27">IFERROR(INDEX(Reference!$P$116:$P$216,MATCH('Drop Point'!$B$9,Reference!$A$117:$A$216,0)+3),0)</f>
        <v>0</v>
      </c>
      <c r="K27" s="330" cm="1">
        <f t="array" ref="K27">IFERROR(INDEX(Reference!$P$116:$P$216,MATCH('Drop Point'!$B$9,Reference!$A$117:$A$216,0)+3),0)</f>
        <v>0</v>
      </c>
      <c r="L27" s="330" cm="1">
        <f t="array" ref="L27">IFERROR(INDEX(Reference!$P$116:$P$216,MATCH('Drop Point'!$B$9,Reference!$A$117:$A$216,0)+3),0)</f>
        <v>0</v>
      </c>
      <c r="M27" s="330" cm="1">
        <f t="array" ref="M27">IFERROR(INDEX(Reference!$P$116:$P$216,MATCH('Drop Point'!$B$9,Reference!$A$117:$A$216,0)+3),0)</f>
        <v>0</v>
      </c>
    </row>
    <row r="28" spans="1:13" ht="20.100000000000001" customHeight="1">
      <c r="A28" s="315" t="s">
        <v>338</v>
      </c>
      <c r="B28" s="287" t="s">
        <v>508</v>
      </c>
      <c r="C28" s="331" t="s">
        <v>405</v>
      </c>
      <c r="D28" s="332">
        <f>IF(ISBLANK(D13),0,((0.74)*(0.0032)*((D27/5)^1.3)/((D20/2)^1.4)))</f>
        <v>0</v>
      </c>
      <c r="E28" s="332">
        <f t="shared" ref="E28:M28" si="1">IF(ISBLANK(E13),0,((0.74)*(0.0032)*((E27/5)^1.3)/((E20/2)^1.4)))</f>
        <v>0</v>
      </c>
      <c r="F28" s="332">
        <f t="shared" si="1"/>
        <v>0</v>
      </c>
      <c r="G28" s="332">
        <f t="shared" si="1"/>
        <v>0</v>
      </c>
      <c r="H28" s="332">
        <f t="shared" si="1"/>
        <v>0</v>
      </c>
      <c r="I28" s="332">
        <f t="shared" si="1"/>
        <v>0</v>
      </c>
      <c r="J28" s="332">
        <f t="shared" si="1"/>
        <v>0</v>
      </c>
      <c r="K28" s="332">
        <f t="shared" si="1"/>
        <v>0</v>
      </c>
      <c r="L28" s="332">
        <f t="shared" si="1"/>
        <v>0</v>
      </c>
      <c r="M28" s="332">
        <f t="shared" si="1"/>
        <v>0</v>
      </c>
    </row>
    <row r="29" spans="1:13" ht="20.100000000000001" customHeight="1">
      <c r="A29" s="316" t="str">
        <f>A28</f>
        <v>PM</v>
      </c>
      <c r="B29" s="288" t="s">
        <v>512</v>
      </c>
      <c r="C29" s="317" t="s">
        <v>34</v>
      </c>
      <c r="D29" s="333">
        <f t="shared" ref="D29:M29" si="2">D$17*D28*(1-D$26)</f>
        <v>0</v>
      </c>
      <c r="E29" s="333">
        <f t="shared" si="2"/>
        <v>0</v>
      </c>
      <c r="F29" s="333">
        <f t="shared" si="2"/>
        <v>0</v>
      </c>
      <c r="G29" s="333">
        <f t="shared" si="2"/>
        <v>0</v>
      </c>
      <c r="H29" s="333">
        <f t="shared" si="2"/>
        <v>0</v>
      </c>
      <c r="I29" s="333">
        <f t="shared" si="2"/>
        <v>0</v>
      </c>
      <c r="J29" s="333">
        <f t="shared" si="2"/>
        <v>0</v>
      </c>
      <c r="K29" s="333">
        <f t="shared" si="2"/>
        <v>0</v>
      </c>
      <c r="L29" s="333">
        <f t="shared" si="2"/>
        <v>0</v>
      </c>
      <c r="M29" s="333">
        <f t="shared" si="2"/>
        <v>0</v>
      </c>
    </row>
    <row r="30" spans="1:13" ht="20.100000000000001" customHeight="1" thickBot="1">
      <c r="A30" s="334" t="str">
        <f>A29</f>
        <v>PM</v>
      </c>
      <c r="B30" s="289" t="s">
        <v>513</v>
      </c>
      <c r="C30" s="335" t="s">
        <v>35</v>
      </c>
      <c r="D30" s="336">
        <f>D$18*D28/2000*(1-D$26)</f>
        <v>0</v>
      </c>
      <c r="E30" s="336">
        <f t="shared" ref="E30:M30" si="3">E$18*E28/2000*(1-E$26)</f>
        <v>0</v>
      </c>
      <c r="F30" s="336">
        <f t="shared" si="3"/>
        <v>0</v>
      </c>
      <c r="G30" s="336">
        <f t="shared" si="3"/>
        <v>0</v>
      </c>
      <c r="H30" s="336">
        <f t="shared" si="3"/>
        <v>0</v>
      </c>
      <c r="I30" s="336">
        <f t="shared" si="3"/>
        <v>0</v>
      </c>
      <c r="J30" s="336">
        <f t="shared" si="3"/>
        <v>0</v>
      </c>
      <c r="K30" s="336">
        <f t="shared" si="3"/>
        <v>0</v>
      </c>
      <c r="L30" s="336">
        <f t="shared" si="3"/>
        <v>0</v>
      </c>
      <c r="M30" s="336">
        <f t="shared" si="3"/>
        <v>0</v>
      </c>
    </row>
    <row r="31" spans="1:13" ht="20.100000000000001" customHeight="1">
      <c r="A31" s="337" t="s">
        <v>528</v>
      </c>
      <c r="B31" s="287" t="s">
        <v>534</v>
      </c>
      <c r="C31" s="331" t="s">
        <v>405</v>
      </c>
      <c r="D31" s="338">
        <f>IF(ISBLANK(D13),0,((0.35)*(0.0032)*((D27/5)^1.3)/((D20/2)^1.4)))</f>
        <v>0</v>
      </c>
      <c r="E31" s="338">
        <f t="shared" ref="E31:M31" si="4">IF(ISBLANK(E13),0,((0.35)*(0.0032)*((E27/5)^1.3)/((E20/2)^1.4)))</f>
        <v>0</v>
      </c>
      <c r="F31" s="338">
        <f t="shared" si="4"/>
        <v>0</v>
      </c>
      <c r="G31" s="338">
        <f t="shared" si="4"/>
        <v>0</v>
      </c>
      <c r="H31" s="338">
        <f t="shared" si="4"/>
        <v>0</v>
      </c>
      <c r="I31" s="338">
        <f t="shared" si="4"/>
        <v>0</v>
      </c>
      <c r="J31" s="338">
        <f t="shared" si="4"/>
        <v>0</v>
      </c>
      <c r="K31" s="338">
        <f t="shared" si="4"/>
        <v>0</v>
      </c>
      <c r="L31" s="338">
        <f t="shared" si="4"/>
        <v>0</v>
      </c>
      <c r="M31" s="338">
        <f t="shared" si="4"/>
        <v>0</v>
      </c>
    </row>
    <row r="32" spans="1:13" ht="20.100000000000001" customHeight="1">
      <c r="A32" s="316" t="str">
        <f>A31</f>
        <v>PM10</v>
      </c>
      <c r="B32" s="288" t="s">
        <v>868</v>
      </c>
      <c r="C32" s="317" t="s">
        <v>34</v>
      </c>
      <c r="D32" s="333">
        <f t="shared" ref="D32:M32" si="5">D$17*D31*(1-D$26)</f>
        <v>0</v>
      </c>
      <c r="E32" s="333">
        <f t="shared" si="5"/>
        <v>0</v>
      </c>
      <c r="F32" s="333">
        <f t="shared" si="5"/>
        <v>0</v>
      </c>
      <c r="G32" s="333">
        <f t="shared" si="5"/>
        <v>0</v>
      </c>
      <c r="H32" s="333">
        <f t="shared" si="5"/>
        <v>0</v>
      </c>
      <c r="I32" s="333">
        <f t="shared" si="5"/>
        <v>0</v>
      </c>
      <c r="J32" s="333">
        <f t="shared" si="5"/>
        <v>0</v>
      </c>
      <c r="K32" s="333">
        <f t="shared" si="5"/>
        <v>0</v>
      </c>
      <c r="L32" s="333">
        <f t="shared" si="5"/>
        <v>0</v>
      </c>
      <c r="M32" s="333">
        <f t="shared" si="5"/>
        <v>0</v>
      </c>
    </row>
    <row r="33" spans="1:13" ht="20.100000000000001" customHeight="1" thickBot="1">
      <c r="A33" s="316" t="str">
        <f>A32</f>
        <v>PM10</v>
      </c>
      <c r="B33" s="289" t="s">
        <v>869</v>
      </c>
      <c r="C33" s="335" t="s">
        <v>35</v>
      </c>
      <c r="D33" s="336">
        <f>D$18*D31/2000*(1-D$26)</f>
        <v>0</v>
      </c>
      <c r="E33" s="336">
        <f t="shared" ref="E33:M33" si="6">E$18*E31/2000*(1-E$26)</f>
        <v>0</v>
      </c>
      <c r="F33" s="336">
        <f t="shared" si="6"/>
        <v>0</v>
      </c>
      <c r="G33" s="336">
        <f t="shared" si="6"/>
        <v>0</v>
      </c>
      <c r="H33" s="336">
        <f t="shared" si="6"/>
        <v>0</v>
      </c>
      <c r="I33" s="336">
        <f t="shared" si="6"/>
        <v>0</v>
      </c>
      <c r="J33" s="336">
        <f t="shared" si="6"/>
        <v>0</v>
      </c>
      <c r="K33" s="336">
        <f t="shared" si="6"/>
        <v>0</v>
      </c>
      <c r="L33" s="336">
        <f t="shared" si="6"/>
        <v>0</v>
      </c>
      <c r="M33" s="336">
        <f t="shared" si="6"/>
        <v>0</v>
      </c>
    </row>
    <row r="34" spans="1:13" ht="20.100000000000001" customHeight="1">
      <c r="A34" s="315" t="s">
        <v>529</v>
      </c>
      <c r="B34" s="287" t="s">
        <v>530</v>
      </c>
      <c r="C34" s="331" t="s">
        <v>405</v>
      </c>
      <c r="D34" s="332">
        <f>IF(ISBLANK(D13),0,((0.053)*(0.0032)*((D27/5)^1.3)/((D20/2)^1.4)))</f>
        <v>0</v>
      </c>
      <c r="E34" s="332">
        <f t="shared" ref="E34:M34" si="7">IF(ISBLANK(E13),0,((0.053)*(0.0032)*((E27/5)^1.3)/((E20/2)^1.4)))</f>
        <v>0</v>
      </c>
      <c r="F34" s="332">
        <f t="shared" si="7"/>
        <v>0</v>
      </c>
      <c r="G34" s="332">
        <f t="shared" si="7"/>
        <v>0</v>
      </c>
      <c r="H34" s="332">
        <f t="shared" si="7"/>
        <v>0</v>
      </c>
      <c r="I34" s="332">
        <f t="shared" si="7"/>
        <v>0</v>
      </c>
      <c r="J34" s="332">
        <f t="shared" si="7"/>
        <v>0</v>
      </c>
      <c r="K34" s="332">
        <f t="shared" si="7"/>
        <v>0</v>
      </c>
      <c r="L34" s="332">
        <f t="shared" si="7"/>
        <v>0</v>
      </c>
      <c r="M34" s="332">
        <f t="shared" si="7"/>
        <v>0</v>
      </c>
    </row>
    <row r="35" spans="1:13" ht="20.100000000000001" customHeight="1">
      <c r="A35" s="316" t="str">
        <f>A34</f>
        <v>PM2.5</v>
      </c>
      <c r="B35" s="288" t="s">
        <v>531</v>
      </c>
      <c r="C35" s="317" t="s">
        <v>34</v>
      </c>
      <c r="D35" s="333">
        <f t="shared" ref="D35:M35" si="8">D$17*D34*(1-D$26)</f>
        <v>0</v>
      </c>
      <c r="E35" s="333">
        <f t="shared" si="8"/>
        <v>0</v>
      </c>
      <c r="F35" s="333">
        <f t="shared" si="8"/>
        <v>0</v>
      </c>
      <c r="G35" s="333">
        <f t="shared" si="8"/>
        <v>0</v>
      </c>
      <c r="H35" s="333">
        <f t="shared" si="8"/>
        <v>0</v>
      </c>
      <c r="I35" s="333">
        <f t="shared" si="8"/>
        <v>0</v>
      </c>
      <c r="J35" s="333">
        <f t="shared" si="8"/>
        <v>0</v>
      </c>
      <c r="K35" s="333">
        <f t="shared" si="8"/>
        <v>0</v>
      </c>
      <c r="L35" s="333">
        <f t="shared" si="8"/>
        <v>0</v>
      </c>
      <c r="M35" s="333">
        <f t="shared" si="8"/>
        <v>0</v>
      </c>
    </row>
    <row r="36" spans="1:13" ht="20.100000000000001" customHeight="1" thickBot="1">
      <c r="A36" s="316" t="str">
        <f>A35</f>
        <v>PM2.5</v>
      </c>
      <c r="B36" s="289" t="s">
        <v>532</v>
      </c>
      <c r="C36" s="328" t="s">
        <v>35</v>
      </c>
      <c r="D36" s="339">
        <f>D$18*D34/2000*(1-D$26)</f>
        <v>0</v>
      </c>
      <c r="E36" s="339">
        <f t="shared" ref="E36:M36" si="9">E$18*E34/2000*(1-E$26)</f>
        <v>0</v>
      </c>
      <c r="F36" s="339">
        <f t="shared" si="9"/>
        <v>0</v>
      </c>
      <c r="G36" s="339">
        <f t="shared" si="9"/>
        <v>0</v>
      </c>
      <c r="H36" s="339">
        <f t="shared" si="9"/>
        <v>0</v>
      </c>
      <c r="I36" s="339">
        <f t="shared" si="9"/>
        <v>0</v>
      </c>
      <c r="J36" s="339">
        <f t="shared" si="9"/>
        <v>0</v>
      </c>
      <c r="K36" s="339">
        <f t="shared" si="9"/>
        <v>0</v>
      </c>
      <c r="L36" s="339">
        <f t="shared" si="9"/>
        <v>0</v>
      </c>
      <c r="M36" s="339">
        <f t="shared" si="9"/>
        <v>0</v>
      </c>
    </row>
    <row r="37" spans="1:13" ht="30" customHeight="1" thickBot="1">
      <c r="A37" s="270" t="s">
        <v>455</v>
      </c>
      <c r="B37" s="289" t="s">
        <v>934</v>
      </c>
      <c r="C37" s="328" t="s">
        <v>99</v>
      </c>
      <c r="D37" s="525"/>
      <c r="E37" s="525"/>
      <c r="F37" s="525"/>
      <c r="G37" s="525"/>
      <c r="H37" s="525"/>
      <c r="I37" s="525"/>
      <c r="J37" s="525"/>
      <c r="K37" s="525"/>
      <c r="L37" s="525"/>
      <c r="M37" s="525"/>
    </row>
    <row r="38" spans="1:13" ht="8.1" customHeight="1">
      <c r="A38" s="147"/>
      <c r="B38" s="147"/>
      <c r="C38" s="147"/>
    </row>
    <row r="39" spans="1:13">
      <c r="A39" s="690" t="str">
        <f>HYPERLINK("#iii.control_dscf","End of Sheet. Click here to go to the next sheet.")</f>
        <v>End of Sheet. Click here to go to the next sheet.</v>
      </c>
      <c r="B39" s="644"/>
      <c r="C39" s="644"/>
      <c r="D39" s="147"/>
    </row>
    <row r="41" spans="1:13" ht="16.5" hidden="1" customHeight="1">
      <c r="A41" s="131" t="s">
        <v>925</v>
      </c>
      <c r="B41" s="131" t="s">
        <v>859</v>
      </c>
      <c r="C41" s="131">
        <f>IF('Material Handling'!AG40=0,0,'Material Handling'!AG40)</f>
        <v>0</v>
      </c>
      <c r="D41" s="131">
        <f t="shared" ref="D41:E41" si="10">IF(ISBLANK(D13),C41,C41+1)</f>
        <v>0</v>
      </c>
      <c r="E41" s="131">
        <f t="shared" si="10"/>
        <v>0</v>
      </c>
      <c r="F41" s="131">
        <f t="shared" ref="F41" si="11">IF(ISBLANK(F13),E41,E41+1)</f>
        <v>0</v>
      </c>
      <c r="G41" s="131">
        <f t="shared" ref="G41" si="12">IF(ISBLANK(G13),F41,F41+1)</f>
        <v>0</v>
      </c>
      <c r="H41" s="131">
        <f t="shared" ref="H41" si="13">IF(ISBLANK(H13),G41,G41+1)</f>
        <v>0</v>
      </c>
      <c r="I41" s="131">
        <f t="shared" ref="I41" si="14">IF(ISBLANK(I13),H41,H41+1)</f>
        <v>0</v>
      </c>
      <c r="J41" s="131">
        <f t="shared" ref="J41" si="15">IF(ISBLANK(J13),I41,I41+1)</f>
        <v>0</v>
      </c>
      <c r="K41" s="131">
        <f t="shared" ref="K41" si="16">IF(ISBLANK(K13),J41,J41+1)</f>
        <v>0</v>
      </c>
      <c r="L41" s="131">
        <f t="shared" ref="L41" si="17">IF(ISBLANK(L13),K41,K41+1)</f>
        <v>0</v>
      </c>
      <c r="M41" s="131">
        <f t="shared" ref="M41" si="18">IF(ISBLANK(M13),L41,L41+1)</f>
        <v>0</v>
      </c>
    </row>
    <row r="42" spans="1:13" hidden="1">
      <c r="A42" s="131" t="s">
        <v>929</v>
      </c>
      <c r="B42" s="131" t="s">
        <v>928</v>
      </c>
      <c r="D42" s="131">
        <f>IF(RIGHT(D22,1)="*",1,0)</f>
        <v>0</v>
      </c>
      <c r="E42" s="131">
        <f t="shared" ref="E42:M42" si="19">IF(RIGHT(E22,1)="*",1,0)</f>
        <v>0</v>
      </c>
      <c r="F42" s="131">
        <f t="shared" si="19"/>
        <v>0</v>
      </c>
      <c r="G42" s="131">
        <f t="shared" si="19"/>
        <v>0</v>
      </c>
      <c r="H42" s="131">
        <f t="shared" si="19"/>
        <v>0</v>
      </c>
      <c r="I42" s="131">
        <f t="shared" si="19"/>
        <v>0</v>
      </c>
      <c r="J42" s="131">
        <f t="shared" si="19"/>
        <v>0</v>
      </c>
      <c r="K42" s="131">
        <f t="shared" si="19"/>
        <v>0</v>
      </c>
      <c r="L42" s="131">
        <f t="shared" si="19"/>
        <v>0</v>
      </c>
      <c r="M42" s="131">
        <f t="shared" si="19"/>
        <v>0</v>
      </c>
    </row>
    <row r="43" spans="1:13" hidden="1">
      <c r="A43" s="131" t="s">
        <v>929</v>
      </c>
      <c r="B43" s="226" t="s">
        <v>937</v>
      </c>
      <c r="D43" s="131">
        <f>IF(OR(D22=Reference!$A$102,D22=Reference!$A$107),1,0)</f>
        <v>0</v>
      </c>
      <c r="E43" s="131">
        <f>IF(OR(E22=Reference!$A$56,E22=Reference!$A$58),1,0)</f>
        <v>0</v>
      </c>
      <c r="F43" s="131">
        <f>IF(OR(F22=Reference!$A$56,F22=Reference!$A$58),1,0)</f>
        <v>0</v>
      </c>
      <c r="G43" s="131">
        <f>IF(OR(G22=Reference!$A$56,G22=Reference!$A$58),1,0)</f>
        <v>0</v>
      </c>
      <c r="H43" s="131">
        <f>IF(OR(H22=Reference!$A$56,H22=Reference!$A$58),1,0)</f>
        <v>0</v>
      </c>
      <c r="I43" s="131">
        <f>IF(OR(I22=Reference!$A$56,I22=Reference!$A$58),1,0)</f>
        <v>0</v>
      </c>
      <c r="J43" s="131">
        <f>IF(OR(J22=Reference!$A$56,J22=Reference!$A$58),1,0)</f>
        <v>0</v>
      </c>
      <c r="K43" s="131">
        <f>IF(OR(K22=Reference!$A$56,K22=Reference!$A$58),1,0)</f>
        <v>0</v>
      </c>
      <c r="L43" s="131">
        <f>IF(OR(L22=Reference!$A$56,L22=Reference!$A$58),1,0)</f>
        <v>0</v>
      </c>
      <c r="M43" s="131">
        <f>IF(OR(M22=Reference!$A$56,M22=Reference!$A$58),1,0)</f>
        <v>0</v>
      </c>
    </row>
    <row r="44" spans="1:13" hidden="1">
      <c r="B44" s="226"/>
    </row>
  </sheetData>
  <sheetProtection algorithmName="SHA-512" hashValue="sGGOg27xznaRyCzr351uBLVrdQIefAPaF7/gQZb9dVdTjwYYd+b8u0oo523o7extpEybHs+W+O8xH98+5/0SMA==" saltValue="6okLvlqqwf/TlWEM8OTrvQ==" spinCount="100000" sheet="1" objects="1" scenarios="1" formatColumns="0" formatRows="0" autoFilter="0"/>
  <mergeCells count="7">
    <mergeCell ref="A39:C39"/>
    <mergeCell ref="A1:M1"/>
    <mergeCell ref="A2:M2"/>
    <mergeCell ref="B7:D7"/>
    <mergeCell ref="A4:M4"/>
    <mergeCell ref="A3:M3"/>
    <mergeCell ref="A6:M6"/>
  </mergeCells>
  <phoneticPr fontId="50" type="noConversion"/>
  <conditionalFormatting sqref="D17:M19">
    <cfRule type="expression" dxfId="19" priority="1">
      <formula>AND(D$19&lt;&gt;"",D$18&gt;D$17*D$19)</formula>
    </cfRule>
  </conditionalFormatting>
  <conditionalFormatting sqref="D20:M20">
    <cfRule type="expression" dxfId="18" priority="2">
      <formula>OR(AND(D$20&gt;0,D$20&lt;0.0025),D$20&gt;0.048)</formula>
    </cfRule>
  </conditionalFormatting>
  <conditionalFormatting sqref="D24:M24">
    <cfRule type="expression" dxfId="17" priority="11">
      <formula>D$43=0</formula>
    </cfRule>
  </conditionalFormatting>
  <conditionalFormatting sqref="D24:M25">
    <cfRule type="expression" dxfId="16" priority="8">
      <formula>D$42=0</formula>
    </cfRule>
  </conditionalFormatting>
  <conditionalFormatting sqref="D25:M25">
    <cfRule type="expression" dxfId="15" priority="4">
      <formula>D$13=0</formula>
    </cfRule>
  </conditionalFormatting>
  <conditionalFormatting sqref="D27:M27">
    <cfRule type="expression" dxfId="14" priority="3">
      <formula>"or(D$26&lt;0.5,D$26&gt;15)"</formula>
    </cfRule>
  </conditionalFormatting>
  <dataValidations count="10">
    <dataValidation type="decimal" allowBlank="1" showInputMessage="1" showErrorMessage="1" sqref="D24:M24" xr:uid="{35FF07D7-C098-49C2-9955-A4929FA0BF68}">
      <formula1>0.5</formula1>
      <formula2>0.9</formula2>
    </dataValidation>
    <dataValidation allowBlank="1" showErrorMessage="1" prompt="Are the sand and gravel materials resulting from natural disintegration of rock and stone? Enter or select &quot;Yes&quot; or &quot;No&quot;." sqref="D23:M23" xr:uid="{49EB7E31-8658-45C1-8212-693CB8F33109}"/>
    <dataValidation type="list" allowBlank="1" showInputMessage="1" showErrorMessage="1" sqref="B9" xr:uid="{5DD1EE2E-1248-4D4C-8983-256DD6D89FF4}">
      <formula1>City_DDL</formula1>
    </dataValidation>
    <dataValidation allowBlank="1" showErrorMessage="1" promptTitle="Note" prompt="Notes of source in this column." sqref="D37:M37" xr:uid="{DD602789-BBA4-49B8-8B61-349F041D7962}"/>
    <dataValidation type="list" allowBlank="1" showErrorMessage="1" promptTitle="General" prompt="Specified control justification and documentaion provide?*" sqref="D25:M25" xr:uid="{93ED3D58-5176-4CAA-BED1-015204F0724C}">
      <formula1>"Yes"</formula1>
    </dataValidation>
    <dataValidation allowBlank="1" showInputMessage="1" showErrorMessage="1" promptTitle="Helper Row: Code" prompt="This code is the epn counter- it keeps track of populated progresively through the calc sheets for the [Emission Summary]tab" sqref="A41" xr:uid="{5EB9142E-580D-49D3-93C5-8AE46B591539}"/>
    <dataValidation allowBlank="1" showInputMessage="1" showErrorMessage="1" promptTitle="Helper Row: Code" prompt="This code is the Partial Encosure Logic Conditional Formating_x000a_" sqref="A42:A44" xr:uid="{403E69BF-5852-4E99-8E79-F5AE7D3F65C3}"/>
    <dataValidation type="textLength" errorStyle="warning" operator="lessThanOrEqual" allowBlank="1" showErrorMessage="1" errorTitle="FIN Too Long" error="The Facility Information Number (FIN) must be 10 characters or fewer in length." promptTitle="General" prompt="Facility Information Number (FIN)" sqref="D14:M14" xr:uid="{10944F9A-4124-46C9-97EB-0F62F8CF233B}">
      <formula1>10</formula1>
    </dataValidation>
    <dataValidation type="textLength" errorStyle="warning" allowBlank="1" showErrorMessage="1" errorTitle="EPN Too Long" error="The Facility Information Number (FIN) must be 10 characters or fewer in length." promptTitle="General" prompt="Emission Point Number (EPN)" sqref="D13:M13" xr:uid="{AD9FCA86-558C-40C5-8642-6294EF7874EE}">
      <formula1>0</formula1>
      <formula2>10</formula2>
    </dataValidation>
    <dataValidation type="decimal" allowBlank="1" showErrorMessage="1" promptTitle="General" prompt="Enter % moisture content" sqref="D20:M20" xr:uid="{B666381B-F942-411B-853D-A9B4AB543138}">
      <formula1>0.0025</formula1>
      <formula2>0.048</formula2>
    </dataValidation>
  </dataValidations>
  <hyperlinks>
    <hyperlink ref="A4" r:id="rId1" xr:uid="{811475EA-647F-4E6D-9598-C407185150DF}"/>
  </hyperlinks>
  <pageMargins left="0.7" right="0.7" top="0.75" bottom="0.75" header="0.3" footer="0.3"/>
  <pageSetup orientation="portrait"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ErrorMessage="1" prompt="Are the sand and gravel materials resulting from natural disintegration of rock and stone? Enter or select &quot;Yes&quot; or &quot;No&quot;." xr:uid="{DD116033-F5C4-4199-BE0A-BDEDAE90052F}">
          <x14:formula1>
            <xm:f>Reference!$A$98:$A$107</xm:f>
          </x14:formula1>
          <xm:sqref>D22:M22</xm:sqref>
        </x14:dataValidation>
        <x14:dataValidation type="list" allowBlank="1" showInputMessage="1" showErrorMessage="1" xr:uid="{9FED0E9E-C419-406C-9234-BFE771385FDF}">
          <x14:formula1>
            <xm:f>Reference!$A$62:$A$70</xm:f>
          </x14:formula1>
          <xm:sqref>D16:M16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BFCDB-47F2-4018-BCA0-46EC21A1F7C9}">
  <sheetPr codeName="Sheet5">
    <tabColor rgb="FFFFFFCC"/>
  </sheetPr>
  <dimension ref="A1:AG40"/>
  <sheetViews>
    <sheetView showGridLines="0" zoomScaleNormal="100" workbookViewId="0">
      <selection sqref="A1:M1"/>
    </sheetView>
  </sheetViews>
  <sheetFormatPr defaultColWidth="0" defaultRowHeight="14.25" zeroHeight="1"/>
  <cols>
    <col min="1" max="1" width="8.7109375" style="131" customWidth="1"/>
    <col min="2" max="2" width="23.5703125" style="131" customWidth="1"/>
    <col min="3" max="3" width="13.7109375" style="131" customWidth="1"/>
    <col min="4" max="13" width="12.7109375" style="131" customWidth="1"/>
    <col min="14" max="14" width="2.7109375" style="131" customWidth="1"/>
    <col min="15" max="16" width="9.140625" style="131" hidden="1" customWidth="1"/>
    <col min="17" max="33" width="12.85546875" style="131" hidden="1" customWidth="1"/>
    <col min="34" max="16384" width="9.140625" style="131" hidden="1"/>
  </cols>
  <sheetData>
    <row r="1" spans="1:16" ht="18.75" customHeight="1" thickBot="1">
      <c r="A1" s="701" t="s">
        <v>1001</v>
      </c>
      <c r="B1" s="702"/>
      <c r="C1" s="702"/>
      <c r="D1" s="702"/>
      <c r="E1" s="702"/>
      <c r="F1" s="702"/>
      <c r="G1" s="702"/>
      <c r="H1" s="702"/>
      <c r="I1" s="702"/>
      <c r="J1" s="702"/>
      <c r="K1" s="702"/>
      <c r="L1" s="702"/>
      <c r="M1" s="703"/>
    </row>
    <row r="2" spans="1:16" s="386" customFormat="1" ht="20.100000000000001" customHeight="1">
      <c r="A2" s="692" t="s">
        <v>1018</v>
      </c>
      <c r="B2" s="704"/>
      <c r="C2" s="704"/>
      <c r="D2" s="704"/>
      <c r="E2" s="704"/>
      <c r="F2" s="704"/>
      <c r="G2" s="704"/>
      <c r="H2" s="704"/>
      <c r="I2" s="704"/>
      <c r="J2" s="657"/>
      <c r="K2" s="657"/>
      <c r="L2" s="657"/>
      <c r="M2" s="658"/>
      <c r="N2" s="131"/>
    </row>
    <row r="3" spans="1:16" s="386" customFormat="1" ht="20.100000000000001" customHeight="1">
      <c r="A3" s="635" t="s">
        <v>935</v>
      </c>
      <c r="B3" s="682"/>
      <c r="C3" s="682"/>
      <c r="D3" s="682"/>
      <c r="E3" s="682"/>
      <c r="F3" s="682"/>
      <c r="G3" s="682"/>
      <c r="H3" s="682"/>
      <c r="I3" s="682"/>
      <c r="J3" s="644"/>
      <c r="K3" s="644"/>
      <c r="L3" s="644"/>
      <c r="M3" s="629"/>
      <c r="N3" s="131"/>
    </row>
    <row r="4" spans="1:16" s="386" customFormat="1" ht="20.100000000000001" customHeight="1">
      <c r="A4" s="705" t="s">
        <v>1097</v>
      </c>
      <c r="B4" s="705"/>
      <c r="C4" s="705"/>
      <c r="D4" s="705"/>
      <c r="E4" s="705"/>
      <c r="F4" s="705"/>
      <c r="G4" s="705"/>
      <c r="H4" s="705"/>
      <c r="I4" s="705"/>
      <c r="J4" s="705"/>
      <c r="K4" s="705"/>
      <c r="L4" s="705"/>
      <c r="M4" s="705"/>
      <c r="N4" s="131"/>
    </row>
    <row r="5" spans="1:16" ht="15" customHeight="1">
      <c r="A5" s="393"/>
      <c r="M5" s="399"/>
    </row>
    <row r="6" spans="1:16" ht="129.94999999999999" customHeight="1">
      <c r="A6" s="679" t="s">
        <v>1090</v>
      </c>
      <c r="B6" s="680"/>
      <c r="C6" s="680"/>
      <c r="D6" s="680"/>
      <c r="E6" s="680"/>
      <c r="F6" s="680"/>
      <c r="G6" s="680"/>
      <c r="H6" s="680"/>
      <c r="I6" s="680"/>
      <c r="J6" s="706"/>
      <c r="K6" s="706"/>
      <c r="L6" s="706"/>
      <c r="M6" s="707"/>
    </row>
    <row r="7" spans="1:16" ht="20.100000000000001" customHeight="1">
      <c r="A7" s="708" t="s">
        <v>1085</v>
      </c>
      <c r="B7" s="708"/>
      <c r="C7" s="708"/>
      <c r="D7" s="708"/>
      <c r="E7" s="708"/>
      <c r="F7" s="708"/>
      <c r="G7" s="708"/>
      <c r="H7" s="708"/>
      <c r="I7" s="708"/>
      <c r="J7" s="708"/>
      <c r="K7" s="708"/>
      <c r="L7" s="708"/>
      <c r="M7" s="708"/>
    </row>
    <row r="8" spans="1:16" ht="15" thickBot="1"/>
    <row r="9" spans="1:16" s="129" customFormat="1" ht="20.100000000000001" customHeight="1" thickBot="1">
      <c r="A9" s="476" t="s">
        <v>938</v>
      </c>
      <c r="B9" s="127"/>
      <c r="C9" s="128"/>
      <c r="D9" s="127"/>
      <c r="E9" s="127"/>
      <c r="F9" s="127"/>
      <c r="G9" s="127"/>
      <c r="H9" s="127"/>
      <c r="I9" s="127"/>
      <c r="J9" s="127"/>
      <c r="K9" s="127"/>
      <c r="L9" s="127"/>
      <c r="M9" s="127"/>
      <c r="N9" s="391"/>
      <c r="P9" s="126"/>
    </row>
    <row r="10" spans="1:16" ht="20.100000000000001" customHeight="1" thickBot="1">
      <c r="A10" s="301" t="s">
        <v>457</v>
      </c>
      <c r="B10" s="290" t="s">
        <v>449</v>
      </c>
      <c r="C10" s="130" t="s">
        <v>149</v>
      </c>
      <c r="D10" s="230" t="s">
        <v>460</v>
      </c>
      <c r="E10" s="230" t="s">
        <v>461</v>
      </c>
      <c r="F10" s="230" t="s">
        <v>462</v>
      </c>
      <c r="G10" s="230" t="s">
        <v>463</v>
      </c>
      <c r="H10" s="230" t="s">
        <v>464</v>
      </c>
      <c r="I10" s="230" t="s">
        <v>465</v>
      </c>
      <c r="J10" s="230" t="s">
        <v>466</v>
      </c>
      <c r="K10" s="230" t="s">
        <v>467</v>
      </c>
      <c r="L10" s="230" t="s">
        <v>468</v>
      </c>
      <c r="M10" s="487" t="s">
        <v>469</v>
      </c>
      <c r="N10" s="386"/>
    </row>
    <row r="11" spans="1:16" ht="20.100000000000001" customHeight="1">
      <c r="A11" s="294" t="s">
        <v>458</v>
      </c>
      <c r="B11" s="346" t="s">
        <v>354</v>
      </c>
      <c r="C11" s="423" t="s">
        <v>99</v>
      </c>
      <c r="D11" s="249"/>
      <c r="E11" s="249"/>
      <c r="F11" s="249"/>
      <c r="G11" s="249"/>
      <c r="H11" s="249"/>
      <c r="I11" s="249"/>
      <c r="J11" s="249"/>
      <c r="K11" s="249"/>
      <c r="L11" s="249"/>
      <c r="M11" s="555"/>
    </row>
    <row r="12" spans="1:16" ht="20.100000000000001" customHeight="1">
      <c r="A12" s="295" t="str">
        <f>A11</f>
        <v>General</v>
      </c>
      <c r="B12" s="387" t="s">
        <v>482</v>
      </c>
      <c r="C12" s="422" t="s">
        <v>99</v>
      </c>
      <c r="D12" s="255"/>
      <c r="E12" s="255"/>
      <c r="F12" s="255"/>
      <c r="G12" s="255"/>
      <c r="H12" s="255"/>
      <c r="I12" s="255"/>
      <c r="J12" s="255"/>
      <c r="K12" s="255"/>
      <c r="L12" s="255"/>
      <c r="M12" s="556"/>
    </row>
    <row r="13" spans="1:16" ht="39.950000000000003" customHeight="1">
      <c r="A13" s="295" t="str">
        <f t="shared" ref="A13:A17" si="0">A12</f>
        <v>General</v>
      </c>
      <c r="B13" s="274" t="s">
        <v>1053</v>
      </c>
      <c r="C13" s="133" t="s">
        <v>99</v>
      </c>
      <c r="D13" s="250"/>
      <c r="E13" s="250"/>
      <c r="F13" s="250"/>
      <c r="G13" s="250"/>
      <c r="H13" s="250"/>
      <c r="I13" s="250"/>
      <c r="J13" s="250"/>
      <c r="K13" s="250"/>
      <c r="L13" s="250"/>
      <c r="M13" s="411"/>
    </row>
    <row r="14" spans="1:16" ht="20.100000000000001" customHeight="1">
      <c r="A14" s="295" t="str">
        <f t="shared" si="0"/>
        <v>General</v>
      </c>
      <c r="B14" s="274" t="s">
        <v>982</v>
      </c>
      <c r="C14" s="133" t="s">
        <v>99</v>
      </c>
      <c r="D14" s="467"/>
      <c r="E14" s="467"/>
      <c r="F14" s="467"/>
      <c r="G14" s="467"/>
      <c r="H14" s="467"/>
      <c r="I14" s="467"/>
      <c r="J14" s="467"/>
      <c r="K14" s="467"/>
      <c r="L14" s="467"/>
      <c r="M14" s="557"/>
      <c r="N14" s="134"/>
    </row>
    <row r="15" spans="1:16" ht="20.100000000000001" customHeight="1">
      <c r="A15" s="295" t="str">
        <f t="shared" si="0"/>
        <v>General</v>
      </c>
      <c r="B15" s="274" t="s">
        <v>1081</v>
      </c>
      <c r="C15" s="135" t="s">
        <v>1082</v>
      </c>
      <c r="D15" s="250"/>
      <c r="E15" s="250"/>
      <c r="F15" s="250"/>
      <c r="G15" s="250"/>
      <c r="H15" s="250"/>
      <c r="I15" s="250"/>
      <c r="J15" s="250"/>
      <c r="K15" s="250"/>
      <c r="L15" s="250"/>
      <c r="M15" s="411"/>
    </row>
    <row r="16" spans="1:16" ht="20.100000000000001" customHeight="1">
      <c r="A16" s="295" t="str">
        <f t="shared" si="0"/>
        <v>General</v>
      </c>
      <c r="B16" s="388" t="s">
        <v>533</v>
      </c>
      <c r="C16" s="141" t="s">
        <v>476</v>
      </c>
      <c r="D16" s="460"/>
      <c r="E16" s="460"/>
      <c r="F16" s="460"/>
      <c r="G16" s="460"/>
      <c r="H16" s="460"/>
      <c r="I16" s="460"/>
      <c r="J16" s="460"/>
      <c r="K16" s="460"/>
      <c r="L16" s="460"/>
      <c r="M16" s="612"/>
    </row>
    <row r="17" spans="1:14" ht="45" customHeight="1" thickBot="1">
      <c r="A17" s="296" t="str">
        <f t="shared" si="0"/>
        <v>General</v>
      </c>
      <c r="B17" s="609" t="s">
        <v>986</v>
      </c>
      <c r="C17" s="335" t="s">
        <v>99</v>
      </c>
      <c r="D17" s="610"/>
      <c r="E17" s="610"/>
      <c r="F17" s="610"/>
      <c r="G17" s="610"/>
      <c r="H17" s="610"/>
      <c r="I17" s="610"/>
      <c r="J17" s="610"/>
      <c r="K17" s="610"/>
      <c r="L17" s="610"/>
      <c r="M17" s="611"/>
    </row>
    <row r="18" spans="1:14" ht="20.100000000000001" customHeight="1">
      <c r="A18" s="294" t="s">
        <v>338</v>
      </c>
      <c r="B18" s="279" t="s">
        <v>508</v>
      </c>
      <c r="C18" s="139" t="s">
        <v>1022</v>
      </c>
      <c r="D18" s="468"/>
      <c r="E18" s="468"/>
      <c r="F18" s="468"/>
      <c r="G18" s="468"/>
      <c r="H18" s="468"/>
      <c r="I18" s="468"/>
      <c r="J18" s="468"/>
      <c r="K18" s="468"/>
      <c r="L18" s="468"/>
      <c r="M18" s="468"/>
      <c r="N18" s="393"/>
    </row>
    <row r="19" spans="1:14" ht="20.100000000000001" customHeight="1">
      <c r="A19" s="295" t="str">
        <f>A18</f>
        <v>PM</v>
      </c>
      <c r="B19" s="273" t="s">
        <v>518</v>
      </c>
      <c r="C19" s="138" t="s">
        <v>34</v>
      </c>
      <c r="D19" s="343">
        <f>D18*D$15*60/7000</f>
        <v>0</v>
      </c>
      <c r="E19" s="343">
        <f t="shared" ref="E19:M19" si="1">E18*E$15*60/7000</f>
        <v>0</v>
      </c>
      <c r="F19" s="343">
        <f t="shared" si="1"/>
        <v>0</v>
      </c>
      <c r="G19" s="343">
        <f t="shared" si="1"/>
        <v>0</v>
      </c>
      <c r="H19" s="343">
        <f t="shared" si="1"/>
        <v>0</v>
      </c>
      <c r="I19" s="343">
        <f t="shared" si="1"/>
        <v>0</v>
      </c>
      <c r="J19" s="343">
        <f t="shared" si="1"/>
        <v>0</v>
      </c>
      <c r="K19" s="343">
        <f t="shared" si="1"/>
        <v>0</v>
      </c>
      <c r="L19" s="343">
        <f t="shared" si="1"/>
        <v>0</v>
      </c>
      <c r="M19" s="343">
        <f t="shared" si="1"/>
        <v>0</v>
      </c>
      <c r="N19" s="393"/>
    </row>
    <row r="20" spans="1:14" ht="20.100000000000001" customHeight="1" thickBot="1">
      <c r="A20" s="296" t="str">
        <f>A19</f>
        <v>PM</v>
      </c>
      <c r="B20" s="349" t="s">
        <v>521</v>
      </c>
      <c r="C20" s="162" t="s">
        <v>35</v>
      </c>
      <c r="D20" s="344">
        <f t="shared" ref="D20" si="2">D19*D$16/2000</f>
        <v>0</v>
      </c>
      <c r="E20" s="344">
        <f t="shared" ref="E20:M20" si="3">E19*E$16/2000</f>
        <v>0</v>
      </c>
      <c r="F20" s="344">
        <f t="shared" si="3"/>
        <v>0</v>
      </c>
      <c r="G20" s="344">
        <f t="shared" si="3"/>
        <v>0</v>
      </c>
      <c r="H20" s="344">
        <f t="shared" si="3"/>
        <v>0</v>
      </c>
      <c r="I20" s="344">
        <f t="shared" si="3"/>
        <v>0</v>
      </c>
      <c r="J20" s="344">
        <f t="shared" si="3"/>
        <v>0</v>
      </c>
      <c r="K20" s="344">
        <f t="shared" si="3"/>
        <v>0</v>
      </c>
      <c r="L20" s="344">
        <f t="shared" si="3"/>
        <v>0</v>
      </c>
      <c r="M20" s="344">
        <f t="shared" si="3"/>
        <v>0</v>
      </c>
      <c r="N20" s="393"/>
    </row>
    <row r="21" spans="1:14" ht="20.100000000000001" customHeight="1">
      <c r="A21" s="297" t="s">
        <v>528</v>
      </c>
      <c r="B21" s="272" t="s">
        <v>534</v>
      </c>
      <c r="C21" s="139" t="s">
        <v>1023</v>
      </c>
      <c r="D21" s="468"/>
      <c r="E21" s="468"/>
      <c r="F21" s="468"/>
      <c r="G21" s="468"/>
      <c r="H21" s="468"/>
      <c r="I21" s="468"/>
      <c r="J21" s="468"/>
      <c r="K21" s="468"/>
      <c r="L21" s="468"/>
      <c r="M21" s="468"/>
      <c r="N21" s="393"/>
    </row>
    <row r="22" spans="1:14" ht="20.100000000000001" customHeight="1">
      <c r="A22" s="295" t="str">
        <f>A21</f>
        <v>PM10</v>
      </c>
      <c r="B22" s="273" t="s">
        <v>868</v>
      </c>
      <c r="C22" s="138" t="s">
        <v>34</v>
      </c>
      <c r="D22" s="343">
        <f>D21*D$15*60/7000</f>
        <v>0</v>
      </c>
      <c r="E22" s="343">
        <f t="shared" ref="E22:M22" si="4">E21*E$15*60/7000</f>
        <v>0</v>
      </c>
      <c r="F22" s="343">
        <f t="shared" si="4"/>
        <v>0</v>
      </c>
      <c r="G22" s="343">
        <f t="shared" si="4"/>
        <v>0</v>
      </c>
      <c r="H22" s="343">
        <f t="shared" si="4"/>
        <v>0</v>
      </c>
      <c r="I22" s="343">
        <f t="shared" si="4"/>
        <v>0</v>
      </c>
      <c r="J22" s="343">
        <f t="shared" si="4"/>
        <v>0</v>
      </c>
      <c r="K22" s="343">
        <f t="shared" si="4"/>
        <v>0</v>
      </c>
      <c r="L22" s="343">
        <f t="shared" si="4"/>
        <v>0</v>
      </c>
      <c r="M22" s="343">
        <f t="shared" si="4"/>
        <v>0</v>
      </c>
      <c r="N22" s="393"/>
    </row>
    <row r="23" spans="1:14" ht="20.100000000000001" customHeight="1" thickBot="1">
      <c r="A23" s="295" t="str">
        <f>A22</f>
        <v>PM10</v>
      </c>
      <c r="B23" s="280" t="s">
        <v>869</v>
      </c>
      <c r="C23" s="140" t="s">
        <v>35</v>
      </c>
      <c r="D23" s="344">
        <f t="shared" ref="D23" si="5">D22*D$16/2000</f>
        <v>0</v>
      </c>
      <c r="E23" s="345">
        <f t="shared" ref="E23:M23" si="6">E22*E$16/2000</f>
        <v>0</v>
      </c>
      <c r="F23" s="345">
        <f t="shared" si="6"/>
        <v>0</v>
      </c>
      <c r="G23" s="345">
        <f t="shared" si="6"/>
        <v>0</v>
      </c>
      <c r="H23" s="345">
        <f t="shared" si="6"/>
        <v>0</v>
      </c>
      <c r="I23" s="345">
        <f t="shared" si="6"/>
        <v>0</v>
      </c>
      <c r="J23" s="345">
        <f t="shared" si="6"/>
        <v>0</v>
      </c>
      <c r="K23" s="345">
        <f t="shared" si="6"/>
        <v>0</v>
      </c>
      <c r="L23" s="345">
        <f t="shared" si="6"/>
        <v>0</v>
      </c>
      <c r="M23" s="345">
        <f t="shared" si="6"/>
        <v>0</v>
      </c>
      <c r="N23" s="393"/>
    </row>
    <row r="24" spans="1:14" ht="20.100000000000001" customHeight="1">
      <c r="A24" s="294" t="s">
        <v>529</v>
      </c>
      <c r="B24" s="279" t="s">
        <v>530</v>
      </c>
      <c r="C24" s="139" t="s">
        <v>1024</v>
      </c>
      <c r="D24" s="468"/>
      <c r="E24" s="468"/>
      <c r="F24" s="468"/>
      <c r="G24" s="468"/>
      <c r="H24" s="468"/>
      <c r="I24" s="468"/>
      <c r="J24" s="468"/>
      <c r="K24" s="468"/>
      <c r="L24" s="468"/>
      <c r="M24" s="468"/>
      <c r="N24" s="393"/>
    </row>
    <row r="25" spans="1:14" ht="20.100000000000001" customHeight="1">
      <c r="A25" s="295" t="str">
        <f>A24</f>
        <v>PM2.5</v>
      </c>
      <c r="B25" s="273" t="s">
        <v>531</v>
      </c>
      <c r="C25" s="138" t="s">
        <v>34</v>
      </c>
      <c r="D25" s="343">
        <f>D24*D$15*60/7000</f>
        <v>0</v>
      </c>
      <c r="E25" s="343">
        <f t="shared" ref="E25:M25" si="7">E24*E$15*60/7000</f>
        <v>0</v>
      </c>
      <c r="F25" s="343">
        <f t="shared" si="7"/>
        <v>0</v>
      </c>
      <c r="G25" s="343">
        <f t="shared" si="7"/>
        <v>0</v>
      </c>
      <c r="H25" s="343">
        <f t="shared" si="7"/>
        <v>0</v>
      </c>
      <c r="I25" s="343">
        <f t="shared" si="7"/>
        <v>0</v>
      </c>
      <c r="J25" s="343">
        <f t="shared" si="7"/>
        <v>0</v>
      </c>
      <c r="K25" s="343">
        <f t="shared" si="7"/>
        <v>0</v>
      </c>
      <c r="L25" s="343">
        <f t="shared" si="7"/>
        <v>0</v>
      </c>
      <c r="M25" s="343">
        <f t="shared" si="7"/>
        <v>0</v>
      </c>
      <c r="N25" s="393"/>
    </row>
    <row r="26" spans="1:14" ht="20.100000000000001" customHeight="1" thickBot="1">
      <c r="A26" s="296" t="str">
        <f>A25</f>
        <v>PM2.5</v>
      </c>
      <c r="B26" s="349" t="s">
        <v>532</v>
      </c>
      <c r="C26" s="162" t="s">
        <v>35</v>
      </c>
      <c r="D26" s="344">
        <f t="shared" ref="D26" si="8">D25*D$16/2000</f>
        <v>0</v>
      </c>
      <c r="E26" s="344">
        <f t="shared" ref="E26:M26" si="9">E25*E$16/2000</f>
        <v>0</v>
      </c>
      <c r="F26" s="344">
        <f t="shared" si="9"/>
        <v>0</v>
      </c>
      <c r="G26" s="344">
        <f t="shared" si="9"/>
        <v>0</v>
      </c>
      <c r="H26" s="344">
        <f t="shared" si="9"/>
        <v>0</v>
      </c>
      <c r="I26" s="344">
        <f t="shared" si="9"/>
        <v>0</v>
      </c>
      <c r="J26" s="344">
        <f t="shared" si="9"/>
        <v>0</v>
      </c>
      <c r="K26" s="344">
        <f t="shared" si="9"/>
        <v>0</v>
      </c>
      <c r="L26" s="344">
        <f t="shared" si="9"/>
        <v>0</v>
      </c>
      <c r="M26" s="344">
        <f t="shared" si="9"/>
        <v>0</v>
      </c>
      <c r="N26" s="393"/>
    </row>
    <row r="27" spans="1:14" ht="30" customHeight="1" thickBot="1">
      <c r="A27" s="389" t="s">
        <v>455</v>
      </c>
      <c r="B27" s="281" t="s">
        <v>934</v>
      </c>
      <c r="C27" s="133" t="s">
        <v>99</v>
      </c>
      <c r="D27" s="526"/>
      <c r="E27" s="526"/>
      <c r="F27" s="526"/>
      <c r="G27" s="526"/>
      <c r="H27" s="526"/>
      <c r="I27" s="526"/>
      <c r="J27" s="526"/>
      <c r="K27" s="526"/>
      <c r="L27" s="526"/>
      <c r="M27" s="526"/>
      <c r="N27" s="393"/>
    </row>
    <row r="28" spans="1:14" ht="8.1" customHeight="1">
      <c r="A28" s="386"/>
    </row>
    <row r="29" spans="1:14">
      <c r="A29" s="690" t="str">
        <f>HYPERLINK("#iv.control_alt","End of Sheet. Click here to go to the next sheet.")</f>
        <v>End of Sheet. Click here to go to the next sheet.</v>
      </c>
      <c r="B29" s="644"/>
      <c r="C29" s="644"/>
    </row>
    <row r="30" spans="1:14" ht="17.25" customHeight="1">
      <c r="A30" s="474"/>
      <c r="N30" s="131" t="s">
        <v>939</v>
      </c>
    </row>
    <row r="31" spans="1:14" ht="15" hidden="1" thickBot="1"/>
    <row r="32" spans="1:14" s="226" customFormat="1" ht="15.75" hidden="1" thickBot="1">
      <c r="A32" s="131" t="s">
        <v>925</v>
      </c>
      <c r="B32" s="223" t="s">
        <v>859</v>
      </c>
      <c r="C32" s="225">
        <f>'Drop Point'!M41</f>
        <v>0</v>
      </c>
      <c r="D32" s="225">
        <f t="shared" ref="D32:M32" si="10">IF(ISBLANK(D11),C32,C32+1)</f>
        <v>0</v>
      </c>
      <c r="E32" s="225">
        <f t="shared" si="10"/>
        <v>0</v>
      </c>
      <c r="F32" s="225">
        <f t="shared" si="10"/>
        <v>0</v>
      </c>
      <c r="G32" s="225">
        <f t="shared" si="10"/>
        <v>0</v>
      </c>
      <c r="H32" s="225">
        <f t="shared" si="10"/>
        <v>0</v>
      </c>
      <c r="I32" s="225">
        <f t="shared" si="10"/>
        <v>0</v>
      </c>
      <c r="J32" s="225">
        <f t="shared" si="10"/>
        <v>0</v>
      </c>
      <c r="K32" s="225">
        <f t="shared" si="10"/>
        <v>0</v>
      </c>
      <c r="L32" s="225">
        <f t="shared" si="10"/>
        <v>0</v>
      </c>
      <c r="M32" s="225">
        <f t="shared" si="10"/>
        <v>0</v>
      </c>
      <c r="N32" s="131"/>
    </row>
    <row r="36" spans="14:14" ht="15" hidden="1">
      <c r="N36" s="223"/>
    </row>
    <row r="37" spans="14:14" hidden="1">
      <c r="N37" s="226"/>
    </row>
    <row r="38" spans="14:14" hidden="1">
      <c r="N38" s="226"/>
    </row>
    <row r="39" spans="14:14" hidden="1">
      <c r="N39" s="226"/>
    </row>
    <row r="40" spans="14:14"/>
  </sheetData>
  <sheetProtection algorithmName="SHA-512" hashValue="nktwMSAnHSy/SpKk6VKE1iRtnrbZ6DtxtVqsI9DxHs+of1YlqJ9dONw40TGmk1ImmncicRXQBbicoQiYcw7Qtg==" saltValue="QpAPXjn5N7Ajy1wCcTN6sw==" spinCount="100000" sheet="1" objects="1" scenarios="1" formatColumns="0" formatRows="0" autoFilter="0"/>
  <mergeCells count="7">
    <mergeCell ref="A29:C29"/>
    <mergeCell ref="A1:M1"/>
    <mergeCell ref="A2:M2"/>
    <mergeCell ref="A3:M3"/>
    <mergeCell ref="A4:M4"/>
    <mergeCell ref="A6:M6"/>
    <mergeCell ref="A7:M7"/>
  </mergeCells>
  <dataValidations count="10">
    <dataValidation allowBlank="1" showErrorMessage="1" promptTitle="General" prompt="Enter the emission description for the source in this column." sqref="D13:M13" xr:uid="{02E57BF8-EA3C-44CC-B7B4-0092C6A47B25}"/>
    <dataValidation type="decimal" allowBlank="1" showErrorMessage="1" promptTitle="General" prompt="Enter the annual usage rate in hours per year for the source in this column." sqref="D16:M16" xr:uid="{5BD17085-7566-4DB0-A5B4-AF3A6B0FFFBB}">
      <formula1>0</formula1>
      <formula2>8760</formula2>
    </dataValidation>
    <dataValidation allowBlank="1" showErrorMessage="1" promptTitle="General" prompt="Enter the hourly flow rate in average cubic feet per minute for the source in this column." sqref="D15:M15" xr:uid="{76FE2194-D57B-4758-83CF-B667648028D3}"/>
    <dataValidation allowBlank="1" showErrorMessage="1" promptTitle="PM10" prompt="PM10 emission factor (gr pm10/dscf)" sqref="D21:M21 D24 D18:M18" xr:uid="{1C0E3481-D126-4A75-85FD-5A7F7ACCC9DB}"/>
    <dataValidation allowBlank="1" showErrorMessage="1" promptTitle="PM2.5" prompt="PM2.5 emission factor (gr pm2.5/dscf)" sqref="E24:M24" xr:uid="{283354EA-420B-4B4E-93D4-71C612BDE254}"/>
    <dataValidation allowBlank="1" showErrorMessage="1" promptTitle="Note" prompt="Notes of source in this column." sqref="D27:M27" xr:uid="{DDAA79DD-7F4E-4043-B40C-13C9439CC9E0}"/>
    <dataValidation allowBlank="1" showInputMessage="1" showErrorMessage="1" promptTitle="Helper Row: Code" prompt="This code is the epn counter- it keeps track of populated progresively through the calc sheets for the [Emission Summary]tab" sqref="A32" xr:uid="{A38EBFD2-2316-4B99-B2F0-C9D85B4CF9EF}"/>
    <dataValidation type="textLength" errorStyle="warning" operator="lessThanOrEqual" allowBlank="1" showErrorMessage="1" errorTitle="FIN Too Long" error="The Facility Information Number (FIN) must be 10 characters or fewer in length." promptTitle="General" prompt="Facility Information Number (FIN) " sqref="D12:M12" xr:uid="{042D89D4-4F5C-4B61-96F5-0F179DCCE5CF}">
      <formula1>10</formula1>
    </dataValidation>
    <dataValidation type="textLength" errorStyle="warning" operator="lessThanOrEqual" allowBlank="1" showErrorMessage="1" errorTitle="EPN Too Long" error="The Emission Point Number (EPN) must be 10 characters or fewer in length." promptTitle="General" prompt="Emission Point Number (EPN) " sqref="D11:M11" xr:uid="{45E15F49-852A-4FF7-AEB2-1D15B46D065B}">
      <formula1>10</formula1>
    </dataValidation>
    <dataValidation type="list" allowBlank="1" showErrorMessage="1" promptTitle="General" prompt="Specified control justification and documentaion provide?*" sqref="D17:M17" xr:uid="{3905A9DC-A34D-4C6A-94A0-52BECF6DDC05}">
      <formula1>"Yes"</formula1>
    </dataValidation>
  </dataValidations>
  <hyperlinks>
    <hyperlink ref="A4" r:id="rId1" display="https://www.tceq.texas.gov/assets/public/permitting/air/Guidance/NewSourceReview/emiss_calc_bulkfert.pdf" xr:uid="{285831BB-3D8B-4D6D-BE9B-A6F7952E7975}"/>
    <hyperlink ref="A7" r:id="rId2" display="https://www.tceq.texas.gov/permitting/air/forms/newsourcereview/tables/nsr_table3.html" xr:uid="{9ADC9BF1-38A2-46FC-914F-C405A9544ADD}"/>
    <hyperlink ref="A7:M7" r:id="rId3" display="           https://www.tceq.texas.gov/permitting/air/nav/air_reftablenewsource.html" xr:uid="{3163D3FF-B434-4C3F-BDFA-A0D5F277E5CB}"/>
    <hyperlink ref="A4:M4" r:id="rId4" display="           https://www.tceq.texas.gov/permitting/air/guidance/newsourcereview/fertilizer/nsr_fac_bulkfert.html" xr:uid="{2662E2B2-7FA3-4EBB-8BD5-AA33D505BBA1}"/>
  </hyperlinks>
  <pageMargins left="0.7" right="0.7" top="0.75" bottom="0.75" header="0.3" footer="0.3"/>
  <pageSetup orientation="portrait" r:id="rId5"/>
  <tableParts count="1">
    <tablePart r:id="rId6"/>
  </tableParts>
  <extLst>
    <ext xmlns:x14="http://schemas.microsoft.com/office/spreadsheetml/2009/9/main" uri="{CCE6A557-97BC-4b89-ADB6-D9C93CAAB3DF}">
      <x14:dataValidations xmlns:xm="http://schemas.microsoft.com/office/excel/2006/main" count="1">
        <x14:dataValidation type="list" allowBlank="1" showErrorMessage="1" promptTitle="General" prompt="Select from the drop down list the autorizing rule for the source in this column." xr:uid="{845ECB2B-7F23-4229-95EA-669A0D5A1D8E}">
          <x14:formula1>
            <xm:f>Reference!$A$62:$A$70</xm:f>
          </x14:formula1>
          <xm:sqref>D14:M14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A1694-0D03-4D3A-8734-E869FB702352}">
  <sheetPr codeName="Sheet6">
    <tabColor rgb="FFFFFFCC"/>
  </sheetPr>
  <dimension ref="A1:AH40"/>
  <sheetViews>
    <sheetView showGridLines="0" zoomScaleNormal="100" workbookViewId="0">
      <selection sqref="A1:N1"/>
    </sheetView>
  </sheetViews>
  <sheetFormatPr defaultColWidth="0" defaultRowHeight="14.25" zeroHeight="1"/>
  <cols>
    <col min="1" max="1" width="8.7109375" style="131" customWidth="1"/>
    <col min="2" max="2" width="22.7109375" style="131" customWidth="1"/>
    <col min="3" max="3" width="14" style="131" customWidth="1"/>
    <col min="4" max="4" width="19" style="131" customWidth="1"/>
    <col min="5" max="14" width="12.7109375" style="131" customWidth="1"/>
    <col min="15" max="15" width="2.7109375" style="131" customWidth="1"/>
    <col min="16" max="19" width="0" style="131" hidden="1" customWidth="1"/>
    <col min="20" max="34" width="10.7109375" style="131" hidden="1" customWidth="1"/>
    <col min="35" max="37" width="0" style="131" hidden="1" customWidth="1"/>
    <col min="38" max="16384" width="0" style="131" hidden="1"/>
  </cols>
  <sheetData>
    <row r="1" spans="1:17" ht="18.75" customHeight="1" thickBot="1">
      <c r="A1" s="701" t="s">
        <v>1002</v>
      </c>
      <c r="B1" s="702"/>
      <c r="C1" s="702"/>
      <c r="D1" s="702"/>
      <c r="E1" s="702"/>
      <c r="F1" s="702"/>
      <c r="G1" s="702"/>
      <c r="H1" s="702"/>
      <c r="I1" s="702"/>
      <c r="J1" s="702"/>
      <c r="K1" s="702"/>
      <c r="L1" s="702"/>
      <c r="M1" s="702"/>
      <c r="N1" s="703"/>
    </row>
    <row r="2" spans="1:17" s="478" customFormat="1" ht="18.75" customHeight="1">
      <c r="A2" s="709" t="s">
        <v>1025</v>
      </c>
      <c r="B2" s="710"/>
      <c r="C2" s="710"/>
      <c r="D2" s="710"/>
      <c r="E2" s="710"/>
      <c r="F2" s="710"/>
      <c r="G2" s="710"/>
      <c r="H2" s="710"/>
      <c r="I2" s="710"/>
      <c r="J2" s="710"/>
      <c r="K2" s="711"/>
      <c r="L2" s="711"/>
      <c r="M2" s="711"/>
      <c r="N2" s="712"/>
      <c r="O2" s="479"/>
    </row>
    <row r="3" spans="1:17" s="386" customFormat="1" ht="15" customHeight="1">
      <c r="A3" s="474"/>
      <c r="B3" s="131"/>
      <c r="C3" s="131"/>
      <c r="D3" s="131"/>
      <c r="E3" s="131"/>
      <c r="F3" s="131"/>
      <c r="G3" s="131"/>
      <c r="H3" s="131"/>
      <c r="I3" s="131"/>
      <c r="J3" s="131"/>
      <c r="K3" s="131"/>
      <c r="L3" s="131"/>
      <c r="M3" s="131"/>
      <c r="N3" s="399"/>
      <c r="O3" s="131"/>
    </row>
    <row r="4" spans="1:17" ht="129.94999999999999" customHeight="1">
      <c r="A4" s="679" t="s">
        <v>1089</v>
      </c>
      <c r="B4" s="680"/>
      <c r="C4" s="680"/>
      <c r="D4" s="680"/>
      <c r="E4" s="680"/>
      <c r="F4" s="680"/>
      <c r="G4" s="680"/>
      <c r="H4" s="680"/>
      <c r="I4" s="680"/>
      <c r="J4" s="680"/>
      <c r="K4" s="706"/>
      <c r="L4" s="706"/>
      <c r="M4" s="706"/>
      <c r="N4" s="707"/>
    </row>
    <row r="5" spans="1:17" ht="20.100000000000001" customHeight="1" thickBot="1">
      <c r="A5" s="713" t="s">
        <v>1085</v>
      </c>
      <c r="B5" s="714"/>
      <c r="C5" s="714"/>
      <c r="D5" s="714"/>
      <c r="E5" s="714"/>
      <c r="F5" s="714"/>
      <c r="G5" s="714"/>
      <c r="H5" s="714"/>
      <c r="I5" s="714"/>
      <c r="J5" s="714"/>
      <c r="K5" s="714"/>
      <c r="L5" s="714"/>
      <c r="M5" s="714"/>
      <c r="N5" s="715"/>
    </row>
    <row r="6" spans="1:17" ht="15" thickBot="1">
      <c r="A6" s="233"/>
    </row>
    <row r="7" spans="1:17" s="129" customFormat="1" ht="20.100000000000001" customHeight="1" thickBot="1">
      <c r="A7" s="476" t="s">
        <v>1013</v>
      </c>
      <c r="B7" s="127"/>
      <c r="C7" s="128"/>
      <c r="D7" s="128"/>
      <c r="E7" s="127"/>
      <c r="F7" s="127"/>
      <c r="G7" s="127"/>
      <c r="H7" s="127"/>
      <c r="I7" s="127"/>
      <c r="J7" s="127"/>
      <c r="K7" s="127"/>
      <c r="L7" s="127"/>
      <c r="M7" s="127"/>
      <c r="N7" s="127"/>
      <c r="O7" s="391"/>
      <c r="Q7" s="126"/>
    </row>
    <row r="8" spans="1:17" s="299" customFormat="1" ht="20.100000000000001" customHeight="1" thickBot="1">
      <c r="A8" s="302" t="s">
        <v>457</v>
      </c>
      <c r="B8" s="462" t="s">
        <v>449</v>
      </c>
      <c r="C8" s="463" t="s">
        <v>149</v>
      </c>
      <c r="D8" s="463" t="s">
        <v>1063</v>
      </c>
      <c r="E8" s="461" t="s">
        <v>460</v>
      </c>
      <c r="F8" s="461" t="s">
        <v>461</v>
      </c>
      <c r="G8" s="461" t="s">
        <v>462</v>
      </c>
      <c r="H8" s="461" t="s">
        <v>463</v>
      </c>
      <c r="I8" s="461" t="s">
        <v>464</v>
      </c>
      <c r="J8" s="461" t="s">
        <v>465</v>
      </c>
      <c r="K8" s="461" t="s">
        <v>466</v>
      </c>
      <c r="L8" s="461" t="s">
        <v>467</v>
      </c>
      <c r="M8" s="461" t="s">
        <v>468</v>
      </c>
      <c r="N8" s="461" t="s">
        <v>469</v>
      </c>
      <c r="O8" s="464"/>
    </row>
    <row r="9" spans="1:17" ht="20.100000000000001" customHeight="1">
      <c r="A9" s="282" t="s">
        <v>458</v>
      </c>
      <c r="B9" s="346" t="s">
        <v>354</v>
      </c>
      <c r="C9" s="132" t="s">
        <v>99</v>
      </c>
      <c r="D9" s="578" t="s">
        <v>1066</v>
      </c>
      <c r="E9" s="249"/>
      <c r="F9" s="249"/>
      <c r="G9" s="249"/>
      <c r="H9" s="249"/>
      <c r="I9" s="249"/>
      <c r="J9" s="249"/>
      <c r="K9" s="249"/>
      <c r="L9" s="249"/>
      <c r="M9" s="249"/>
      <c r="N9" s="249"/>
      <c r="O9" s="393"/>
    </row>
    <row r="10" spans="1:17" ht="20.100000000000001" customHeight="1">
      <c r="A10" s="283" t="str">
        <f>A9</f>
        <v>General</v>
      </c>
      <c r="B10" s="387" t="s">
        <v>482</v>
      </c>
      <c r="C10" s="422" t="s">
        <v>99</v>
      </c>
      <c r="D10" s="579" t="s">
        <v>1067</v>
      </c>
      <c r="E10" s="255"/>
      <c r="F10" s="255"/>
      <c r="G10" s="255"/>
      <c r="H10" s="255"/>
      <c r="I10" s="255"/>
      <c r="J10" s="255"/>
      <c r="K10" s="255"/>
      <c r="L10" s="255"/>
      <c r="M10" s="255"/>
      <c r="N10" s="255"/>
      <c r="O10" s="393"/>
    </row>
    <row r="11" spans="1:17" s="134" customFormat="1" ht="50.1" customHeight="1">
      <c r="A11" s="480" t="str">
        <f>A10</f>
        <v>General</v>
      </c>
      <c r="B11" s="274" t="s">
        <v>1053</v>
      </c>
      <c r="C11" s="133" t="s">
        <v>99</v>
      </c>
      <c r="D11" s="580" t="s">
        <v>1062</v>
      </c>
      <c r="E11" s="412"/>
      <c r="F11" s="412"/>
      <c r="G11" s="412"/>
      <c r="H11" s="412"/>
      <c r="I11" s="412"/>
      <c r="J11" s="412"/>
      <c r="K11" s="412"/>
      <c r="L11" s="412"/>
      <c r="M11" s="412"/>
      <c r="N11" s="412"/>
      <c r="O11" s="229"/>
    </row>
    <row r="12" spans="1:17" ht="20.100000000000001" customHeight="1">
      <c r="A12" s="480" t="str">
        <f>A11</f>
        <v>General</v>
      </c>
      <c r="B12" s="274" t="s">
        <v>982</v>
      </c>
      <c r="C12" s="133" t="s">
        <v>99</v>
      </c>
      <c r="D12" s="580" t="s">
        <v>847</v>
      </c>
      <c r="E12" s="467"/>
      <c r="F12" s="467"/>
      <c r="G12" s="467"/>
      <c r="H12" s="467"/>
      <c r="I12" s="467"/>
      <c r="J12" s="467"/>
      <c r="K12" s="467"/>
      <c r="L12" s="467"/>
      <c r="M12" s="467"/>
      <c r="N12" s="467"/>
      <c r="O12" s="229"/>
    </row>
    <row r="13" spans="1:17" ht="20.100000000000001" customHeight="1">
      <c r="A13" s="480" t="str">
        <f t="shared" ref="A13:A17" si="0">A12</f>
        <v>General</v>
      </c>
      <c r="B13" s="274" t="s">
        <v>903</v>
      </c>
      <c r="C13" s="133" t="s">
        <v>99</v>
      </c>
      <c r="D13" s="580" t="s">
        <v>965</v>
      </c>
      <c r="E13" s="250"/>
      <c r="F13" s="250"/>
      <c r="G13" s="250"/>
      <c r="H13" s="250"/>
      <c r="I13" s="250"/>
      <c r="J13" s="250"/>
      <c r="K13" s="250"/>
      <c r="L13" s="250"/>
      <c r="M13" s="250"/>
      <c r="N13" s="250"/>
      <c r="O13" s="393"/>
    </row>
    <row r="14" spans="1:17" ht="20.100000000000001" customHeight="1">
      <c r="A14" s="480" t="str">
        <f t="shared" si="0"/>
        <v>General</v>
      </c>
      <c r="B14" s="274" t="s">
        <v>1081</v>
      </c>
      <c r="C14" s="165" t="s">
        <v>898</v>
      </c>
      <c r="D14" s="581">
        <v>75</v>
      </c>
      <c r="E14" s="460"/>
      <c r="F14" s="460"/>
      <c r="G14" s="460"/>
      <c r="H14" s="460"/>
      <c r="I14" s="460"/>
      <c r="J14" s="460"/>
      <c r="K14" s="460"/>
      <c r="L14" s="460"/>
      <c r="M14" s="460"/>
      <c r="N14" s="460"/>
      <c r="O14" s="393"/>
    </row>
    <row r="15" spans="1:17" ht="20.100000000000001" customHeight="1">
      <c r="A15" s="480" t="str">
        <f t="shared" si="0"/>
        <v>General</v>
      </c>
      <c r="B15" s="275" t="s">
        <v>897</v>
      </c>
      <c r="C15" s="165" t="s">
        <v>899</v>
      </c>
      <c r="D15" s="582">
        <v>12000</v>
      </c>
      <c r="E15" s="460"/>
      <c r="F15" s="460"/>
      <c r="G15" s="460"/>
      <c r="H15" s="460"/>
      <c r="I15" s="460"/>
      <c r="J15" s="460"/>
      <c r="K15" s="460"/>
      <c r="L15" s="460"/>
      <c r="M15" s="460"/>
      <c r="N15" s="460"/>
      <c r="O15" s="393"/>
    </row>
    <row r="16" spans="1:17" ht="20.100000000000001" customHeight="1">
      <c r="A16" s="480" t="str">
        <f t="shared" si="0"/>
        <v>General</v>
      </c>
      <c r="B16" s="388" t="s">
        <v>533</v>
      </c>
      <c r="C16" s="141" t="s">
        <v>476</v>
      </c>
      <c r="D16" s="582">
        <v>8760</v>
      </c>
      <c r="E16" s="460"/>
      <c r="F16" s="460"/>
      <c r="G16" s="460"/>
      <c r="H16" s="460"/>
      <c r="I16" s="460"/>
      <c r="J16" s="460"/>
      <c r="K16" s="460"/>
      <c r="L16" s="460"/>
      <c r="M16" s="460"/>
      <c r="N16" s="460"/>
      <c r="O16" s="393"/>
    </row>
    <row r="17" spans="1:15" ht="50.25" customHeight="1" thickBot="1">
      <c r="A17" s="480" t="str">
        <f t="shared" si="0"/>
        <v>General</v>
      </c>
      <c r="B17" s="274" t="s">
        <v>985</v>
      </c>
      <c r="C17" s="135" t="s">
        <v>99</v>
      </c>
      <c r="D17" s="583" t="s">
        <v>40</v>
      </c>
      <c r="E17" s="253"/>
      <c r="F17" s="253"/>
      <c r="G17" s="253"/>
      <c r="H17" s="253"/>
      <c r="I17" s="253"/>
      <c r="J17" s="253"/>
      <c r="K17" s="253"/>
      <c r="L17" s="253"/>
      <c r="M17" s="253"/>
      <c r="N17" s="253"/>
      <c r="O17" s="393"/>
    </row>
    <row r="18" spans="1:15" ht="20.100000000000001" customHeight="1">
      <c r="A18" s="282" t="s">
        <v>338</v>
      </c>
      <c r="B18" s="276" t="s">
        <v>508</v>
      </c>
      <c r="C18" s="163" t="s">
        <v>1019</v>
      </c>
      <c r="D18" s="584">
        <f>0.02*(1-0.9)</f>
        <v>1.9999999999999996E-3</v>
      </c>
      <c r="E18" s="468"/>
      <c r="F18" s="468"/>
      <c r="G18" s="468"/>
      <c r="H18" s="468"/>
      <c r="I18" s="468"/>
      <c r="J18" s="468"/>
      <c r="K18" s="468"/>
      <c r="L18" s="468"/>
      <c r="M18" s="468"/>
      <c r="N18" s="468"/>
      <c r="O18" s="393"/>
    </row>
    <row r="19" spans="1:15" ht="20.100000000000001" customHeight="1">
      <c r="A19" s="283" t="str">
        <f>A18</f>
        <v>PM</v>
      </c>
      <c r="B19" s="277" t="s">
        <v>518</v>
      </c>
      <c r="C19" s="164" t="s">
        <v>34</v>
      </c>
      <c r="D19" s="580">
        <v>0.15</v>
      </c>
      <c r="E19" s="343">
        <f t="shared" ref="E19:N19" si="1">E18*E$14</f>
        <v>0</v>
      </c>
      <c r="F19" s="343">
        <f t="shared" si="1"/>
        <v>0</v>
      </c>
      <c r="G19" s="343">
        <f t="shared" si="1"/>
        <v>0</v>
      </c>
      <c r="H19" s="343">
        <f t="shared" si="1"/>
        <v>0</v>
      </c>
      <c r="I19" s="343">
        <f t="shared" si="1"/>
        <v>0</v>
      </c>
      <c r="J19" s="343">
        <f t="shared" si="1"/>
        <v>0</v>
      </c>
      <c r="K19" s="343">
        <f t="shared" si="1"/>
        <v>0</v>
      </c>
      <c r="L19" s="343">
        <f t="shared" si="1"/>
        <v>0</v>
      </c>
      <c r="M19" s="343">
        <f t="shared" si="1"/>
        <v>0</v>
      </c>
      <c r="N19" s="343">
        <f t="shared" si="1"/>
        <v>0</v>
      </c>
      <c r="O19" s="393"/>
    </row>
    <row r="20" spans="1:15" ht="20.100000000000001" customHeight="1" thickBot="1">
      <c r="A20" s="285" t="str">
        <f>A19</f>
        <v>PM</v>
      </c>
      <c r="B20" s="394" t="s">
        <v>521</v>
      </c>
      <c r="C20" s="232" t="s">
        <v>35</v>
      </c>
      <c r="D20" s="585">
        <v>1.2E-2</v>
      </c>
      <c r="E20" s="344">
        <f t="shared" ref="E20:N20" si="2">E18*E$15/2000</f>
        <v>0</v>
      </c>
      <c r="F20" s="344">
        <f t="shared" si="2"/>
        <v>0</v>
      </c>
      <c r="G20" s="344">
        <f t="shared" si="2"/>
        <v>0</v>
      </c>
      <c r="H20" s="344">
        <f t="shared" si="2"/>
        <v>0</v>
      </c>
      <c r="I20" s="344">
        <f t="shared" si="2"/>
        <v>0</v>
      </c>
      <c r="J20" s="344">
        <f t="shared" si="2"/>
        <v>0</v>
      </c>
      <c r="K20" s="344">
        <f t="shared" si="2"/>
        <v>0</v>
      </c>
      <c r="L20" s="344">
        <f t="shared" si="2"/>
        <v>0</v>
      </c>
      <c r="M20" s="344">
        <f t="shared" si="2"/>
        <v>0</v>
      </c>
      <c r="N20" s="344">
        <f t="shared" si="2"/>
        <v>0</v>
      </c>
      <c r="O20" s="393"/>
    </row>
    <row r="21" spans="1:15" ht="20.100000000000001" customHeight="1">
      <c r="A21" s="286" t="s">
        <v>528</v>
      </c>
      <c r="B21" s="395" t="s">
        <v>534</v>
      </c>
      <c r="C21" s="231" t="s">
        <v>1020</v>
      </c>
      <c r="D21" s="586">
        <v>0</v>
      </c>
      <c r="E21" s="468"/>
      <c r="F21" s="468"/>
      <c r="G21" s="468"/>
      <c r="H21" s="468"/>
      <c r="I21" s="468"/>
      <c r="J21" s="468"/>
      <c r="K21" s="468"/>
      <c r="L21" s="468"/>
      <c r="M21" s="562"/>
      <c r="N21" s="562"/>
      <c r="O21" s="393"/>
    </row>
    <row r="22" spans="1:15" ht="20.100000000000001" customHeight="1">
      <c r="A22" s="283" t="str">
        <f>A21</f>
        <v>PM10</v>
      </c>
      <c r="B22" s="277" t="s">
        <v>868</v>
      </c>
      <c r="C22" s="164" t="s">
        <v>34</v>
      </c>
      <c r="D22" s="580">
        <v>0</v>
      </c>
      <c r="E22" s="343">
        <f>E21*E$14</f>
        <v>0</v>
      </c>
      <c r="F22" s="343">
        <f t="shared" ref="F22" si="3">F21*F$14</f>
        <v>0</v>
      </c>
      <c r="G22" s="343">
        <f t="shared" ref="G22" si="4">G21*G$14</f>
        <v>0</v>
      </c>
      <c r="H22" s="343">
        <f t="shared" ref="H22" si="5">H21*H$14</f>
        <v>0</v>
      </c>
      <c r="I22" s="343">
        <f t="shared" ref="I22" si="6">I21*I$14</f>
        <v>0</v>
      </c>
      <c r="J22" s="343">
        <f t="shared" ref="J22" si="7">J21*J$14</f>
        <v>0</v>
      </c>
      <c r="K22" s="343">
        <f t="shared" ref="K22" si="8">K21*K$14</f>
        <v>0</v>
      </c>
      <c r="L22" s="343">
        <f t="shared" ref="L22" si="9">L21*L$14</f>
        <v>0</v>
      </c>
      <c r="M22" s="343">
        <f t="shared" ref="M22" si="10">M21*M$14</f>
        <v>0</v>
      </c>
      <c r="N22" s="343">
        <f t="shared" ref="N22" si="11">N21*N$14</f>
        <v>0</v>
      </c>
      <c r="O22" s="393"/>
    </row>
    <row r="23" spans="1:15" ht="20.100000000000001" customHeight="1" thickBot="1">
      <c r="A23" s="283" t="str">
        <f>A22</f>
        <v>PM10</v>
      </c>
      <c r="B23" s="278" t="s">
        <v>869</v>
      </c>
      <c r="C23" s="232" t="s">
        <v>35</v>
      </c>
      <c r="D23" s="585">
        <v>0</v>
      </c>
      <c r="E23" s="344">
        <f t="shared" ref="E23:N23" si="12">E21*E$15/2000</f>
        <v>0</v>
      </c>
      <c r="F23" s="344">
        <f t="shared" si="12"/>
        <v>0</v>
      </c>
      <c r="G23" s="344">
        <f t="shared" si="12"/>
        <v>0</v>
      </c>
      <c r="H23" s="344">
        <f t="shared" si="12"/>
        <v>0</v>
      </c>
      <c r="I23" s="344">
        <f t="shared" si="12"/>
        <v>0</v>
      </c>
      <c r="J23" s="344">
        <f t="shared" si="12"/>
        <v>0</v>
      </c>
      <c r="K23" s="344">
        <f t="shared" si="12"/>
        <v>0</v>
      </c>
      <c r="L23" s="344">
        <f t="shared" si="12"/>
        <v>0</v>
      </c>
      <c r="M23" s="344">
        <f t="shared" si="12"/>
        <v>0</v>
      </c>
      <c r="N23" s="344">
        <f t="shared" si="12"/>
        <v>0</v>
      </c>
      <c r="O23" s="393"/>
    </row>
    <row r="24" spans="1:15" ht="20.100000000000001" customHeight="1">
      <c r="A24" s="282" t="s">
        <v>529</v>
      </c>
      <c r="B24" s="279" t="s">
        <v>530</v>
      </c>
      <c r="C24" s="231" t="s">
        <v>1021</v>
      </c>
      <c r="D24" s="586">
        <v>0</v>
      </c>
      <c r="E24" s="468"/>
      <c r="F24" s="468"/>
      <c r="G24" s="468"/>
      <c r="H24" s="468"/>
      <c r="I24" s="468"/>
      <c r="J24" s="468"/>
      <c r="K24" s="468"/>
      <c r="L24" s="468"/>
      <c r="M24" s="468"/>
      <c r="N24" s="468"/>
      <c r="O24" s="393"/>
    </row>
    <row r="25" spans="1:15" ht="20.100000000000001" customHeight="1">
      <c r="A25" s="283" t="str">
        <f>A24</f>
        <v>PM2.5</v>
      </c>
      <c r="B25" s="273" t="s">
        <v>531</v>
      </c>
      <c r="C25" s="138" t="s">
        <v>34</v>
      </c>
      <c r="D25" s="580">
        <v>0</v>
      </c>
      <c r="E25" s="343">
        <f>E24*E$14</f>
        <v>0</v>
      </c>
      <c r="F25" s="343">
        <f t="shared" ref="F25" si="13">F24*F$14</f>
        <v>0</v>
      </c>
      <c r="G25" s="343">
        <f t="shared" ref="G25" si="14">G24*G$14</f>
        <v>0</v>
      </c>
      <c r="H25" s="343">
        <f t="shared" ref="H25" si="15">H24*H$14</f>
        <v>0</v>
      </c>
      <c r="I25" s="343">
        <f t="shared" ref="I25" si="16">I24*I$14</f>
        <v>0</v>
      </c>
      <c r="J25" s="343">
        <f t="shared" ref="J25" si="17">J24*J$14</f>
        <v>0</v>
      </c>
      <c r="K25" s="343">
        <f t="shared" ref="K25" si="18">K24*K$14</f>
        <v>0</v>
      </c>
      <c r="L25" s="343">
        <f t="shared" ref="L25" si="19">L24*L$14</f>
        <v>0</v>
      </c>
      <c r="M25" s="343">
        <f t="shared" ref="M25" si="20">M24*M$14</f>
        <v>0</v>
      </c>
      <c r="N25" s="343">
        <f t="shared" ref="N25" si="21">N24*N$14</f>
        <v>0</v>
      </c>
      <c r="O25" s="393"/>
    </row>
    <row r="26" spans="1:15" ht="20.100000000000001" customHeight="1" thickBot="1">
      <c r="A26" s="285" t="str">
        <f>A25</f>
        <v>PM2.5</v>
      </c>
      <c r="B26" s="349" t="s">
        <v>532</v>
      </c>
      <c r="C26" s="162" t="s">
        <v>35</v>
      </c>
      <c r="D26" s="585">
        <v>0</v>
      </c>
      <c r="E26" s="344">
        <f t="shared" ref="E26:N26" si="22">E24*E$15/2000</f>
        <v>0</v>
      </c>
      <c r="F26" s="344">
        <f t="shared" si="22"/>
        <v>0</v>
      </c>
      <c r="G26" s="344">
        <f t="shared" si="22"/>
        <v>0</v>
      </c>
      <c r="H26" s="344">
        <f t="shared" si="22"/>
        <v>0</v>
      </c>
      <c r="I26" s="344">
        <f t="shared" si="22"/>
        <v>0</v>
      </c>
      <c r="J26" s="344">
        <f t="shared" si="22"/>
        <v>0</v>
      </c>
      <c r="K26" s="344">
        <f t="shared" si="22"/>
        <v>0</v>
      </c>
      <c r="L26" s="344">
        <f t="shared" si="22"/>
        <v>0</v>
      </c>
      <c r="M26" s="344">
        <f t="shared" si="22"/>
        <v>0</v>
      </c>
      <c r="N26" s="344">
        <f t="shared" si="22"/>
        <v>0</v>
      </c>
      <c r="O26" s="393"/>
    </row>
    <row r="27" spans="1:15" ht="29.25" thickBot="1">
      <c r="A27" s="389" t="s">
        <v>455</v>
      </c>
      <c r="B27" s="281" t="s">
        <v>934</v>
      </c>
      <c r="C27" s="269" t="s">
        <v>99</v>
      </c>
      <c r="D27" s="587" t="s">
        <v>1061</v>
      </c>
      <c r="E27" s="527"/>
      <c r="F27" s="527"/>
      <c r="G27" s="527"/>
      <c r="H27" s="527"/>
      <c r="I27" s="527"/>
      <c r="J27" s="527"/>
      <c r="K27" s="527"/>
      <c r="L27" s="527"/>
      <c r="M27" s="527"/>
      <c r="N27" s="527"/>
      <c r="O27" s="393"/>
    </row>
    <row r="28" spans="1:15" ht="8.1" customHeight="1">
      <c r="A28" s="541"/>
      <c r="B28" s="541"/>
      <c r="C28" s="541"/>
    </row>
    <row r="29" spans="1:15">
      <c r="A29" s="632" t="str">
        <f>HYPERLINK("#v.Stockpile","End of Sheet. Click here to go to the next sheet.")</f>
        <v>End of Sheet. Click here to go to the next sheet.</v>
      </c>
      <c r="B29" s="644"/>
      <c r="C29" s="644"/>
    </row>
    <row r="30" spans="1:15" hidden="1">
      <c r="A30" s="474"/>
      <c r="O30" s="393"/>
    </row>
    <row r="31" spans="1:15" hidden="1">
      <c r="O31" s="131" t="s">
        <v>939</v>
      </c>
    </row>
    <row r="32" spans="1:15" s="226" customFormat="1" ht="15" hidden="1">
      <c r="A32" s="131" t="s">
        <v>925</v>
      </c>
      <c r="B32" s="223" t="s">
        <v>859</v>
      </c>
      <c r="C32" s="226">
        <f>'Control - Grain dscf'!M32</f>
        <v>0</v>
      </c>
      <c r="E32" s="226">
        <f>IF(ISBLANK(E9),C32,C32+1)</f>
        <v>0</v>
      </c>
      <c r="F32" s="226">
        <f t="shared" ref="F32:N32" si="23">IF(ISBLANK(F9),E32,E32+1)</f>
        <v>0</v>
      </c>
      <c r="G32" s="226">
        <f t="shared" si="23"/>
        <v>0</v>
      </c>
      <c r="H32" s="226">
        <f t="shared" si="23"/>
        <v>0</v>
      </c>
      <c r="I32" s="226">
        <f t="shared" si="23"/>
        <v>0</v>
      </c>
      <c r="J32" s="226">
        <f t="shared" si="23"/>
        <v>0</v>
      </c>
      <c r="K32" s="226">
        <f t="shared" si="23"/>
        <v>0</v>
      </c>
      <c r="L32" s="226">
        <f t="shared" si="23"/>
        <v>0</v>
      </c>
      <c r="M32" s="226">
        <f t="shared" si="23"/>
        <v>0</v>
      </c>
      <c r="N32" s="226">
        <f t="shared" si="23"/>
        <v>0</v>
      </c>
      <c r="O32" s="131"/>
    </row>
    <row r="33" spans="15:15"/>
    <row r="37" spans="15:15" ht="15" hidden="1">
      <c r="O37" s="223"/>
    </row>
    <row r="38" spans="15:15" hidden="1">
      <c r="O38" s="226"/>
    </row>
    <row r="39" spans="15:15" hidden="1">
      <c r="O39" s="226"/>
    </row>
    <row r="40" spans="15:15" hidden="1">
      <c r="O40" s="226"/>
    </row>
  </sheetData>
  <sheetProtection algorithmName="SHA-512" hashValue="sRxKzmqOj69RO91WwEtm/4445cjtqwXVVaNs7oofCLYR8qJVIlQ7cnZsc20ngqsPqUe23ODlVxlN1Q5qAIHtSg==" saltValue="UBAHFq8AwTRBtzOKCg8vUw==" spinCount="100000" sheet="1" objects="1" scenarios="1" formatColumns="0" formatRows="0" autoFilter="0"/>
  <mergeCells count="5">
    <mergeCell ref="A29:C29"/>
    <mergeCell ref="A1:N1"/>
    <mergeCell ref="A2:N2"/>
    <mergeCell ref="A4:N4"/>
    <mergeCell ref="A5:N5"/>
  </mergeCells>
  <conditionalFormatting sqref="E14:N16">
    <cfRule type="expression" dxfId="13" priority="1">
      <formula>AND(E$16&lt;&gt;"",E$15&gt;E$14*E$16)</formula>
    </cfRule>
  </conditionalFormatting>
  <dataValidations count="12">
    <dataValidation allowBlank="1" showErrorMessage="1" promptTitle="General" prompt="Enter the emission description for the source in this column." sqref="E11:N11" xr:uid="{2E449788-FF1B-437A-8DEE-9F73657A774E}"/>
    <dataValidation allowBlank="1" showErrorMessage="1" promptTitle="General" prompt="Enter the hourly unit* rate as defined above for the source in this column." sqref="E14:N14" xr:uid="{9426A16F-BC72-4661-8553-80B0ABA8F6AE}"/>
    <dataValidation allowBlank="1" showErrorMessage="1" promptTitle="General" prompt="Enter the annual unit* rate as defined above for the source in this column." sqref="E15:N16" xr:uid="{2792C5AB-6F7C-4CD0-BFF9-E575207BC38B}"/>
    <dataValidation allowBlank="1" showErrorMessage="1" promptTitle="PM" prompt="PM emission factor (lb pm/unit*)" sqref="E18" xr:uid="{1CFCCAC5-98D6-43D6-B1D0-0856751A446E}"/>
    <dataValidation allowBlank="1" showErrorMessage="1" promptTitle="PM10" prompt="PM10 emission factor (lb pm10/unit*)" sqref="E21" xr:uid="{3D76EC29-C7B4-45CF-9C46-E5D901CE5189}"/>
    <dataValidation allowBlank="1" showErrorMessage="1" promptTitle="PM2.5" prompt="PM2.5 emission factor (lb pm2.5/unit)" sqref="E24" xr:uid="{1E6774C4-8C41-4779-8121-5161E6F93B32}"/>
    <dataValidation allowBlank="1" showErrorMessage="1" promptTitle="Note" prompt="Notes of source in this column." sqref="E27:N27" xr:uid="{7A11B39F-091F-42D2-A4A3-9D44284CD98D}"/>
    <dataValidation allowBlank="1" showInputMessage="1" showErrorMessage="1" promptTitle="Helper Row: Code" prompt="This code is the epn counter- it keeps track of populated progresively through the calc sheets for the [Emission Summary]tab" sqref="A32" xr:uid="{8003E444-EB03-49C1-980D-5140C418F785}"/>
    <dataValidation type="list" allowBlank="1" showErrorMessage="1" promptTitle="General" prompt="Select from the drop down list if justifciation and supporting documentation are attached for the source in this column." sqref="E17:N17" xr:uid="{77246FBF-517D-4C76-B1AB-D168A1742387}">
      <formula1>"Yes"</formula1>
    </dataValidation>
    <dataValidation type="list" allowBlank="1" showErrorMessage="1" promptTitle="General" prompt="Enter the unit for conversion for the source in this column." sqref="E13:N13" xr:uid="{1E17F775-D3B9-4474-B5E8-999C77A1A1C5}">
      <formula1>units</formula1>
    </dataValidation>
    <dataValidation type="textLength" errorStyle="warning" operator="lessThanOrEqual" allowBlank="1" showErrorMessage="1" errorTitle="FIN Too Long" error="The Facility Information Number (FIN) must be 10 characters or fewer in length." promptTitle="General" prompt="Facility Information Number (FIN)" sqref="E10:N10" xr:uid="{4A76503D-A7FD-4C8E-BAA6-E1921EF2610B}">
      <formula1>10</formula1>
    </dataValidation>
    <dataValidation type="textLength" errorStyle="warning" operator="lessThanOrEqual" allowBlank="1" showErrorMessage="1" errorTitle="EPN Too Long" error="The Emission Point Number (EPN) must be 10 characters or fewer in length." promptTitle="General" prompt="Emission Point Number (EPN) " sqref="E9:N9" xr:uid="{4131726B-895C-428B-AA34-2035E7A93098}">
      <formula1>10</formula1>
    </dataValidation>
  </dataValidations>
  <hyperlinks>
    <hyperlink ref="A5" r:id="rId1" display="https://www.tceq.texas.gov/permitting/air/forms/newsourcereview/tables/nsr_table3.html" xr:uid="{F8BA73BF-460E-41A1-A40B-4CF4436D40E5}"/>
    <hyperlink ref="A5:N5" r:id="rId2" display="           https://www.tceq.texas.gov/permitting/air/nav/air_reftablenewsource.html" xr:uid="{439109F4-C021-45C0-9EBF-090F993DFDE9}"/>
  </hyperlinks>
  <pageMargins left="0.7" right="0.7" top="0.75" bottom="0.75" header="0.3" footer="0.3"/>
  <pageSetup orientation="portrait" r:id="rId3"/>
  <tableParts count="1">
    <tablePart r:id="rId4"/>
  </tableParts>
  <extLst>
    <ext xmlns:x14="http://schemas.microsoft.com/office/spreadsheetml/2009/9/main" uri="{CCE6A557-97BC-4b89-ADB6-D9C93CAAB3DF}">
      <x14:dataValidations xmlns:xm="http://schemas.microsoft.com/office/excel/2006/main" count="1">
        <x14:dataValidation type="list" allowBlank="1" showErrorMessage="1" promptTitle="General" prompt="Select from the drop down list the autorizing rule for the source in this column." xr:uid="{4BBC5E20-4FAF-412F-A69E-B2914180F74D}">
          <x14:formula1>
            <xm:f>Reference!$A$62:$A$70</xm:f>
          </x14:formula1>
          <xm:sqref>E12:N12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42532-8112-4920-878D-60967A2E4CDF}">
  <sheetPr codeName="Sheet8">
    <tabColor rgb="FFFFFFCC"/>
  </sheetPr>
  <dimension ref="A1:N90"/>
  <sheetViews>
    <sheetView showGridLines="0" workbookViewId="0">
      <selection sqref="A1:M1"/>
    </sheetView>
  </sheetViews>
  <sheetFormatPr defaultColWidth="0" defaultRowHeight="14.25" zeroHeight="1"/>
  <cols>
    <col min="1" max="1" width="8.7109375" style="131" customWidth="1"/>
    <col min="2" max="2" width="22.7109375" style="131" customWidth="1"/>
    <col min="3" max="3" width="11.7109375" style="131" customWidth="1"/>
    <col min="4" max="13" width="12.7109375" style="131" customWidth="1"/>
    <col min="14" max="14" width="2.7109375" style="131" customWidth="1"/>
    <col min="15" max="16384" width="9.140625" style="131" hidden="1"/>
  </cols>
  <sheetData>
    <row r="1" spans="1:13" ht="18.75" customHeight="1" thickBot="1">
      <c r="A1" s="678" t="s">
        <v>911</v>
      </c>
      <c r="B1" s="653"/>
      <c r="C1" s="653"/>
      <c r="D1" s="653"/>
      <c r="E1" s="653"/>
      <c r="F1" s="653"/>
      <c r="G1" s="653"/>
      <c r="H1" s="653"/>
      <c r="I1" s="653"/>
      <c r="J1" s="653"/>
      <c r="K1" s="653"/>
      <c r="L1" s="653"/>
      <c r="M1" s="654"/>
    </row>
    <row r="2" spans="1:13" ht="20.100000000000001" customHeight="1">
      <c r="A2" s="692" t="s">
        <v>987</v>
      </c>
      <c r="B2" s="693"/>
      <c r="C2" s="693"/>
      <c r="D2" s="693"/>
      <c r="E2" s="693"/>
      <c r="F2" s="693"/>
      <c r="G2" s="693"/>
      <c r="H2" s="693"/>
      <c r="I2" s="693"/>
      <c r="J2" s="694"/>
      <c r="K2" s="694"/>
      <c r="L2" s="694"/>
      <c r="M2" s="695"/>
    </row>
    <row r="3" spans="1:13" ht="20.100000000000001" customHeight="1">
      <c r="A3" s="700" t="s">
        <v>1028</v>
      </c>
      <c r="B3" s="644"/>
      <c r="C3" s="644"/>
      <c r="D3" s="644"/>
      <c r="E3" s="644"/>
      <c r="F3" s="644"/>
      <c r="G3" s="644"/>
      <c r="H3" s="644"/>
      <c r="I3" s="644"/>
      <c r="J3" s="644"/>
      <c r="K3" s="644"/>
      <c r="L3" s="644"/>
      <c r="M3" s="629"/>
    </row>
    <row r="4" spans="1:13" ht="20.100000000000001" customHeight="1">
      <c r="A4" s="685" t="s">
        <v>871</v>
      </c>
      <c r="B4" s="644"/>
      <c r="C4" s="644"/>
      <c r="D4" s="644"/>
      <c r="E4" s="644"/>
      <c r="F4" s="644"/>
      <c r="G4" s="644"/>
      <c r="H4" s="644"/>
      <c r="I4" s="644"/>
      <c r="J4" s="644"/>
      <c r="K4" s="644"/>
      <c r="L4" s="644"/>
      <c r="M4" s="629"/>
    </row>
    <row r="5" spans="1:13" ht="15" customHeight="1">
      <c r="A5" s="474"/>
      <c r="M5" s="399"/>
    </row>
    <row r="6" spans="1:13" ht="45" customHeight="1" thickBot="1">
      <c r="A6" s="683" t="s">
        <v>1026</v>
      </c>
      <c r="B6" s="684"/>
      <c r="C6" s="684"/>
      <c r="D6" s="684"/>
      <c r="E6" s="684"/>
      <c r="F6" s="684"/>
      <c r="G6" s="684"/>
      <c r="H6" s="684"/>
      <c r="I6" s="684"/>
      <c r="J6" s="717"/>
      <c r="K6" s="717"/>
      <c r="L6" s="717"/>
      <c r="M6" s="643"/>
    </row>
    <row r="7" spans="1:13" ht="15" thickBot="1">
      <c r="B7" s="644"/>
      <c r="C7" s="644"/>
      <c r="D7" s="644"/>
    </row>
    <row r="8" spans="1:13" s="129" customFormat="1" ht="20.100000000000001" customHeight="1" thickBot="1">
      <c r="A8" s="476" t="s">
        <v>951</v>
      </c>
      <c r="B8" s="127"/>
      <c r="C8" s="128"/>
      <c r="D8" s="127"/>
      <c r="E8" s="127"/>
      <c r="F8" s="127"/>
      <c r="G8" s="127"/>
      <c r="H8" s="127"/>
      <c r="I8" s="127"/>
      <c r="J8" s="127"/>
      <c r="K8" s="127"/>
      <c r="L8" s="127"/>
      <c r="M8" s="127"/>
    </row>
    <row r="9" spans="1:13" s="304" customFormat="1" ht="20.100000000000001" customHeight="1" thickBot="1">
      <c r="A9" s="301" t="s">
        <v>457</v>
      </c>
      <c r="B9" s="290" t="s">
        <v>449</v>
      </c>
      <c r="C9" s="130" t="s">
        <v>149</v>
      </c>
      <c r="D9" s="230" t="s">
        <v>460</v>
      </c>
      <c r="E9" s="230" t="s">
        <v>461</v>
      </c>
      <c r="F9" s="230" t="s">
        <v>462</v>
      </c>
      <c r="G9" s="230" t="s">
        <v>463</v>
      </c>
      <c r="H9" s="230" t="s">
        <v>464</v>
      </c>
      <c r="I9" s="230" t="s">
        <v>465</v>
      </c>
      <c r="J9" s="230" t="s">
        <v>466</v>
      </c>
      <c r="K9" s="230" t="s">
        <v>467</v>
      </c>
      <c r="L9" s="230" t="s">
        <v>468</v>
      </c>
      <c r="M9" s="230" t="s">
        <v>469</v>
      </c>
    </row>
    <row r="10" spans="1:13" ht="20.100000000000001" customHeight="1">
      <c r="A10" s="470" t="s">
        <v>458</v>
      </c>
      <c r="B10" s="466" t="s">
        <v>354</v>
      </c>
      <c r="C10" s="259" t="s">
        <v>99</v>
      </c>
      <c r="D10" s="255"/>
      <c r="E10" s="255"/>
      <c r="F10" s="255"/>
      <c r="G10" s="255"/>
      <c r="H10" s="255"/>
      <c r="I10" s="255"/>
      <c r="J10" s="255"/>
      <c r="K10" s="255"/>
      <c r="L10" s="255"/>
      <c r="M10" s="255"/>
    </row>
    <row r="11" spans="1:13" ht="20.100000000000001" customHeight="1">
      <c r="A11" s="309" t="str">
        <f t="shared" ref="A11:A14" si="0">A10</f>
        <v>General</v>
      </c>
      <c r="B11" s="466" t="s">
        <v>482</v>
      </c>
      <c r="C11" s="259" t="s">
        <v>99</v>
      </c>
      <c r="D11" s="465"/>
      <c r="E11" s="465"/>
      <c r="F11" s="465"/>
      <c r="G11" s="465"/>
      <c r="H11" s="465"/>
      <c r="I11" s="465"/>
      <c r="J11" s="465"/>
      <c r="K11" s="465"/>
      <c r="L11" s="465"/>
      <c r="M11" s="465"/>
    </row>
    <row r="12" spans="1:13" ht="39.950000000000003" customHeight="1">
      <c r="A12" s="309" t="str">
        <f t="shared" si="0"/>
        <v>General</v>
      </c>
      <c r="B12" s="466" t="s">
        <v>1053</v>
      </c>
      <c r="C12" s="259" t="s">
        <v>99</v>
      </c>
      <c r="D12" s="250"/>
      <c r="E12" s="250"/>
      <c r="F12" s="250"/>
      <c r="G12" s="250"/>
      <c r="H12" s="250"/>
      <c r="I12" s="250"/>
      <c r="J12" s="250"/>
      <c r="K12" s="250"/>
      <c r="L12" s="250"/>
      <c r="M12" s="250"/>
    </row>
    <row r="13" spans="1:13" ht="20.100000000000001" customHeight="1">
      <c r="A13" s="309" t="str">
        <f t="shared" si="0"/>
        <v>General</v>
      </c>
      <c r="B13" s="466" t="s">
        <v>982</v>
      </c>
      <c r="C13" s="259" t="s">
        <v>99</v>
      </c>
      <c r="D13" s="467"/>
      <c r="E13" s="467"/>
      <c r="F13" s="467"/>
      <c r="G13" s="467"/>
      <c r="H13" s="467"/>
      <c r="I13" s="467"/>
      <c r="J13" s="467"/>
      <c r="K13" s="467"/>
      <c r="L13" s="467"/>
      <c r="M13" s="467"/>
    </row>
    <row r="14" spans="1:13" ht="20.100000000000001" customHeight="1">
      <c r="A14" s="309" t="str">
        <f t="shared" si="0"/>
        <v>General</v>
      </c>
      <c r="B14" s="291" t="s">
        <v>916</v>
      </c>
      <c r="C14" s="257" t="s">
        <v>478</v>
      </c>
      <c r="D14" s="250"/>
      <c r="E14" s="250"/>
      <c r="F14" s="250"/>
      <c r="G14" s="250"/>
      <c r="H14" s="250"/>
      <c r="I14" s="250"/>
      <c r="J14" s="250"/>
      <c r="K14" s="250"/>
      <c r="L14" s="250"/>
      <c r="M14" s="250"/>
    </row>
    <row r="15" spans="1:13" ht="20.100000000000001" customHeight="1">
      <c r="A15" s="310" t="str">
        <f>A14</f>
        <v>General</v>
      </c>
      <c r="B15" s="291" t="s">
        <v>980</v>
      </c>
      <c r="C15" s="257" t="s">
        <v>406</v>
      </c>
      <c r="D15" s="253"/>
      <c r="E15" s="253"/>
      <c r="F15" s="253"/>
      <c r="G15" s="253"/>
      <c r="H15" s="253"/>
      <c r="I15" s="253"/>
      <c r="J15" s="253"/>
      <c r="K15" s="253"/>
      <c r="L15" s="253"/>
      <c r="M15" s="253"/>
    </row>
    <row r="16" spans="1:13" ht="20.100000000000001" customHeight="1" thickBot="1">
      <c r="A16" s="309" t="str">
        <f>A15</f>
        <v>General</v>
      </c>
      <c r="B16" s="292" t="s">
        <v>917</v>
      </c>
      <c r="C16" s="311" t="s">
        <v>479</v>
      </c>
      <c r="D16" s="256"/>
      <c r="E16" s="256"/>
      <c r="F16" s="256"/>
      <c r="G16" s="256"/>
      <c r="H16" s="256"/>
      <c r="I16" s="256"/>
      <c r="J16" s="256"/>
      <c r="K16" s="256"/>
      <c r="L16" s="256"/>
      <c r="M16" s="256"/>
    </row>
    <row r="17" spans="1:13" s="134" customFormat="1" ht="35.1" customHeight="1">
      <c r="A17" s="424" t="s">
        <v>338</v>
      </c>
      <c r="B17" s="425" t="s">
        <v>519</v>
      </c>
      <c r="C17" s="132" t="s">
        <v>480</v>
      </c>
      <c r="D17" s="426">
        <f>IF(D16=365,0,3.5)</f>
        <v>3.5</v>
      </c>
      <c r="E17" s="426">
        <f>IF(E16=365,0,3.5)</f>
        <v>3.5</v>
      </c>
      <c r="F17" s="426">
        <f t="shared" ref="F17:M17" si="1">IF(F16=365,0,3.5)</f>
        <v>3.5</v>
      </c>
      <c r="G17" s="426">
        <f t="shared" si="1"/>
        <v>3.5</v>
      </c>
      <c r="H17" s="426">
        <f t="shared" si="1"/>
        <v>3.5</v>
      </c>
      <c r="I17" s="426">
        <f t="shared" si="1"/>
        <v>3.5</v>
      </c>
      <c r="J17" s="426">
        <f t="shared" si="1"/>
        <v>3.5</v>
      </c>
      <c r="K17" s="426">
        <f t="shared" si="1"/>
        <v>3.5</v>
      </c>
      <c r="L17" s="426">
        <f t="shared" si="1"/>
        <v>3.5</v>
      </c>
      <c r="M17" s="426">
        <f t="shared" si="1"/>
        <v>3.5</v>
      </c>
    </row>
    <row r="18" spans="1:13" s="134" customFormat="1" ht="35.1" customHeight="1">
      <c r="A18" s="310" t="str">
        <f>A17</f>
        <v>PM</v>
      </c>
      <c r="B18" s="427" t="s">
        <v>520</v>
      </c>
      <c r="C18" s="133" t="s">
        <v>480</v>
      </c>
      <c r="D18" s="428">
        <f>IF(D16&gt;0,13.2,0)</f>
        <v>0</v>
      </c>
      <c r="E18" s="428">
        <f>IF(E16&gt;0,13.2,0)</f>
        <v>0</v>
      </c>
      <c r="F18" s="428">
        <f t="shared" ref="F18:M18" si="2">IF(F16&gt;0,13.2,0)</f>
        <v>0</v>
      </c>
      <c r="G18" s="428">
        <f t="shared" si="2"/>
        <v>0</v>
      </c>
      <c r="H18" s="428">
        <f t="shared" si="2"/>
        <v>0</v>
      </c>
      <c r="I18" s="428">
        <f t="shared" si="2"/>
        <v>0</v>
      </c>
      <c r="J18" s="428">
        <f t="shared" si="2"/>
        <v>0</v>
      </c>
      <c r="K18" s="428">
        <f t="shared" si="2"/>
        <v>0</v>
      </c>
      <c r="L18" s="428">
        <f t="shared" si="2"/>
        <v>0</v>
      </c>
      <c r="M18" s="428">
        <f t="shared" si="2"/>
        <v>0</v>
      </c>
    </row>
    <row r="19" spans="1:13" ht="20.100000000000001" customHeight="1" thickBot="1">
      <c r="A19" s="312" t="str">
        <f>A18</f>
        <v>PM</v>
      </c>
      <c r="B19" s="143" t="s">
        <v>521</v>
      </c>
      <c r="C19" s="311" t="s">
        <v>35</v>
      </c>
      <c r="D19" s="271">
        <f>D14*(1-D15)*(D17*(365-D16)+D18*D16)/2000</f>
        <v>0</v>
      </c>
      <c r="E19" s="271">
        <f t="shared" ref="E19:M19" si="3">E14*(1-E15)*(E17*(365-E16)+E18*E16)/2000</f>
        <v>0</v>
      </c>
      <c r="F19" s="271">
        <f t="shared" si="3"/>
        <v>0</v>
      </c>
      <c r="G19" s="271">
        <f t="shared" si="3"/>
        <v>0</v>
      </c>
      <c r="H19" s="271">
        <f t="shared" si="3"/>
        <v>0</v>
      </c>
      <c r="I19" s="271">
        <f t="shared" si="3"/>
        <v>0</v>
      </c>
      <c r="J19" s="271">
        <f t="shared" si="3"/>
        <v>0</v>
      </c>
      <c r="K19" s="271">
        <f t="shared" si="3"/>
        <v>0</v>
      </c>
      <c r="L19" s="271">
        <f t="shared" si="3"/>
        <v>0</v>
      </c>
      <c r="M19" s="271">
        <f t="shared" si="3"/>
        <v>0</v>
      </c>
    </row>
    <row r="20" spans="1:13" s="134" customFormat="1" ht="35.1" customHeight="1">
      <c r="A20" s="429" t="s">
        <v>528</v>
      </c>
      <c r="B20" s="425" t="s">
        <v>932</v>
      </c>
      <c r="C20" s="132" t="s">
        <v>480</v>
      </c>
      <c r="D20" s="430">
        <f t="shared" ref="D20:M20" si="4">D17*0.5</f>
        <v>1.75</v>
      </c>
      <c r="E20" s="430">
        <f t="shared" si="4"/>
        <v>1.75</v>
      </c>
      <c r="F20" s="430">
        <f t="shared" si="4"/>
        <v>1.75</v>
      </c>
      <c r="G20" s="430">
        <f t="shared" si="4"/>
        <v>1.75</v>
      </c>
      <c r="H20" s="430">
        <f t="shared" si="4"/>
        <v>1.75</v>
      </c>
      <c r="I20" s="430">
        <f t="shared" si="4"/>
        <v>1.75</v>
      </c>
      <c r="J20" s="430">
        <f t="shared" si="4"/>
        <v>1.75</v>
      </c>
      <c r="K20" s="430">
        <f t="shared" si="4"/>
        <v>1.75</v>
      </c>
      <c r="L20" s="430">
        <f t="shared" si="4"/>
        <v>1.75</v>
      </c>
      <c r="M20" s="430">
        <f t="shared" si="4"/>
        <v>1.75</v>
      </c>
    </row>
    <row r="21" spans="1:13" s="134" customFormat="1" ht="35.1" customHeight="1">
      <c r="A21" s="310" t="str">
        <f>A20</f>
        <v>PM10</v>
      </c>
      <c r="B21" s="427" t="s">
        <v>931</v>
      </c>
      <c r="C21" s="133" t="s">
        <v>480</v>
      </c>
      <c r="D21" s="431">
        <f t="shared" ref="D21:M21" si="5">D18*0.5</f>
        <v>0</v>
      </c>
      <c r="E21" s="431">
        <f t="shared" si="5"/>
        <v>0</v>
      </c>
      <c r="F21" s="431">
        <f t="shared" si="5"/>
        <v>0</v>
      </c>
      <c r="G21" s="431">
        <f t="shared" si="5"/>
        <v>0</v>
      </c>
      <c r="H21" s="431">
        <f t="shared" si="5"/>
        <v>0</v>
      </c>
      <c r="I21" s="431">
        <f t="shared" si="5"/>
        <v>0</v>
      </c>
      <c r="J21" s="431">
        <f t="shared" si="5"/>
        <v>0</v>
      </c>
      <c r="K21" s="431">
        <f t="shared" si="5"/>
        <v>0</v>
      </c>
      <c r="L21" s="431">
        <f t="shared" si="5"/>
        <v>0</v>
      </c>
      <c r="M21" s="431">
        <f t="shared" si="5"/>
        <v>0</v>
      </c>
    </row>
    <row r="22" spans="1:13" ht="20.100000000000001" customHeight="1" thickBot="1">
      <c r="A22" s="309" t="str">
        <f>A21</f>
        <v>PM10</v>
      </c>
      <c r="B22" s="142" t="s">
        <v>869</v>
      </c>
      <c r="C22" s="258" t="s">
        <v>35</v>
      </c>
      <c r="D22" s="260">
        <f t="shared" ref="D22:M22" si="6">D14*(1-D15)*(D20*(365-D16)+D21*D16)/2000</f>
        <v>0</v>
      </c>
      <c r="E22" s="260">
        <f t="shared" si="6"/>
        <v>0</v>
      </c>
      <c r="F22" s="260">
        <f t="shared" si="6"/>
        <v>0</v>
      </c>
      <c r="G22" s="260">
        <f t="shared" si="6"/>
        <v>0</v>
      </c>
      <c r="H22" s="260">
        <f t="shared" si="6"/>
        <v>0</v>
      </c>
      <c r="I22" s="260">
        <f t="shared" si="6"/>
        <v>0</v>
      </c>
      <c r="J22" s="260">
        <f t="shared" si="6"/>
        <v>0</v>
      </c>
      <c r="K22" s="260">
        <f t="shared" si="6"/>
        <v>0</v>
      </c>
      <c r="L22" s="260">
        <f t="shared" si="6"/>
        <v>0</v>
      </c>
      <c r="M22" s="260">
        <f t="shared" si="6"/>
        <v>0</v>
      </c>
    </row>
    <row r="23" spans="1:13" s="134" customFormat="1" ht="35.1" customHeight="1">
      <c r="A23" s="424" t="s">
        <v>529</v>
      </c>
      <c r="B23" s="466" t="s">
        <v>933</v>
      </c>
      <c r="C23" s="422" t="s">
        <v>480</v>
      </c>
      <c r="D23" s="432">
        <f t="shared" ref="D23:M24" si="7">D20*(0.053/0.35)</f>
        <v>0.26500000000000001</v>
      </c>
      <c r="E23" s="432">
        <f t="shared" si="7"/>
        <v>0.26500000000000001</v>
      </c>
      <c r="F23" s="432">
        <f t="shared" si="7"/>
        <v>0.26500000000000001</v>
      </c>
      <c r="G23" s="432">
        <f t="shared" si="7"/>
        <v>0.26500000000000001</v>
      </c>
      <c r="H23" s="432">
        <f t="shared" si="7"/>
        <v>0.26500000000000001</v>
      </c>
      <c r="I23" s="432">
        <f t="shared" si="7"/>
        <v>0.26500000000000001</v>
      </c>
      <c r="J23" s="432">
        <f t="shared" si="7"/>
        <v>0.26500000000000001</v>
      </c>
      <c r="K23" s="432">
        <f t="shared" si="7"/>
        <v>0.26500000000000001</v>
      </c>
      <c r="L23" s="432">
        <f t="shared" si="7"/>
        <v>0.26500000000000001</v>
      </c>
      <c r="M23" s="432">
        <f t="shared" si="7"/>
        <v>0.26500000000000001</v>
      </c>
    </row>
    <row r="24" spans="1:13" s="134" customFormat="1" ht="35.1" customHeight="1">
      <c r="A24" s="310" t="str">
        <f>A23</f>
        <v>PM2.5</v>
      </c>
      <c r="B24" s="410" t="s">
        <v>954</v>
      </c>
      <c r="C24" s="133" t="s">
        <v>480</v>
      </c>
      <c r="D24" s="431">
        <f t="shared" si="7"/>
        <v>0</v>
      </c>
      <c r="E24" s="431">
        <f t="shared" si="7"/>
        <v>0</v>
      </c>
      <c r="F24" s="431">
        <f t="shared" si="7"/>
        <v>0</v>
      </c>
      <c r="G24" s="431">
        <f t="shared" si="7"/>
        <v>0</v>
      </c>
      <c r="H24" s="431">
        <f t="shared" si="7"/>
        <v>0</v>
      </c>
      <c r="I24" s="431">
        <f t="shared" si="7"/>
        <v>0</v>
      </c>
      <c r="J24" s="431">
        <f t="shared" si="7"/>
        <v>0</v>
      </c>
      <c r="K24" s="431">
        <f t="shared" si="7"/>
        <v>0</v>
      </c>
      <c r="L24" s="431">
        <f t="shared" si="7"/>
        <v>0</v>
      </c>
      <c r="M24" s="431">
        <f t="shared" si="7"/>
        <v>0</v>
      </c>
    </row>
    <row r="25" spans="1:13" ht="20.100000000000001" customHeight="1" thickBot="1">
      <c r="A25" s="312" t="str">
        <f>A24</f>
        <v>PM2.5</v>
      </c>
      <c r="B25" s="142" t="s">
        <v>930</v>
      </c>
      <c r="C25" s="258" t="s">
        <v>35</v>
      </c>
      <c r="D25" s="260">
        <f t="shared" ref="D25:M25" si="8">D14*(1-D15)*(D23*(365-D16)+D24*D16)/2000</f>
        <v>0</v>
      </c>
      <c r="E25" s="260">
        <f t="shared" si="8"/>
        <v>0</v>
      </c>
      <c r="F25" s="260">
        <f t="shared" si="8"/>
        <v>0</v>
      </c>
      <c r="G25" s="260">
        <f t="shared" si="8"/>
        <v>0</v>
      </c>
      <c r="H25" s="260">
        <f t="shared" si="8"/>
        <v>0</v>
      </c>
      <c r="I25" s="260">
        <f t="shared" si="8"/>
        <v>0</v>
      </c>
      <c r="J25" s="260">
        <f t="shared" si="8"/>
        <v>0</v>
      </c>
      <c r="K25" s="260">
        <f t="shared" si="8"/>
        <v>0</v>
      </c>
      <c r="L25" s="260">
        <f t="shared" si="8"/>
        <v>0</v>
      </c>
      <c r="M25" s="260">
        <f t="shared" si="8"/>
        <v>0</v>
      </c>
    </row>
    <row r="26" spans="1:13" ht="30" customHeight="1" thickBot="1">
      <c r="A26" s="270" t="s">
        <v>455</v>
      </c>
      <c r="B26" s="270" t="s">
        <v>934</v>
      </c>
      <c r="C26" s="140" t="s">
        <v>99</v>
      </c>
      <c r="D26" s="524"/>
      <c r="E26" s="524"/>
      <c r="F26" s="524"/>
      <c r="G26" s="524"/>
      <c r="H26" s="524"/>
      <c r="I26" s="524"/>
      <c r="J26" s="524"/>
      <c r="K26" s="524"/>
      <c r="L26" s="524"/>
      <c r="M26" s="524"/>
    </row>
    <row r="27" spans="1:13" ht="8.1" customHeight="1"/>
    <row r="28" spans="1:13" ht="18" customHeight="1">
      <c r="A28" s="632" t="str">
        <f>HYPERLINK("#vi.Silo","End of Sheet. Click here to go to the next sheet.")</f>
        <v>End of Sheet. Click here to go to the next sheet.</v>
      </c>
      <c r="B28" s="644"/>
      <c r="C28" s="644"/>
      <c r="D28" s="644"/>
    </row>
    <row r="30" spans="1:13" s="129" customFormat="1" ht="16.5" hidden="1" customHeight="1">
      <c r="A30" s="131" t="s">
        <v>925</v>
      </c>
      <c r="B30" s="131" t="s">
        <v>859</v>
      </c>
      <c r="C30" s="131">
        <f>'Control - Alt'!N32</f>
        <v>0</v>
      </c>
      <c r="D30" s="131">
        <f t="shared" ref="D30:M30" si="9">IF(ISBLANK(D10),C30,C30+1)</f>
        <v>0</v>
      </c>
      <c r="E30" s="131">
        <f t="shared" si="9"/>
        <v>0</v>
      </c>
      <c r="F30" s="131">
        <f t="shared" si="9"/>
        <v>0</v>
      </c>
      <c r="G30" s="131">
        <f t="shared" si="9"/>
        <v>0</v>
      </c>
      <c r="H30" s="131">
        <f t="shared" si="9"/>
        <v>0</v>
      </c>
      <c r="I30" s="131">
        <f t="shared" si="9"/>
        <v>0</v>
      </c>
      <c r="J30" s="131">
        <f t="shared" si="9"/>
        <v>0</v>
      </c>
      <c r="K30" s="131">
        <f t="shared" si="9"/>
        <v>0</v>
      </c>
      <c r="L30" s="131">
        <f t="shared" si="9"/>
        <v>0</v>
      </c>
      <c r="M30" s="131">
        <f t="shared" si="9"/>
        <v>0</v>
      </c>
    </row>
    <row r="59" spans="2:4" hidden="1">
      <c r="B59" s="131" t="s">
        <v>447</v>
      </c>
    </row>
    <row r="61" spans="2:4" ht="32.25" hidden="1" customHeight="1">
      <c r="B61" s="542" t="s">
        <v>402</v>
      </c>
      <c r="C61" s="542"/>
      <c r="D61" s="542" t="s">
        <v>396</v>
      </c>
    </row>
    <row r="62" spans="2:4" hidden="1">
      <c r="B62" s="543" t="s">
        <v>397</v>
      </c>
      <c r="C62" s="543"/>
      <c r="D62" s="543">
        <v>0</v>
      </c>
    </row>
    <row r="63" spans="2:4" hidden="1">
      <c r="B63" s="543" t="s">
        <v>395</v>
      </c>
      <c r="C63" s="543"/>
      <c r="D63" s="543">
        <v>50</v>
      </c>
    </row>
    <row r="64" spans="2:4" hidden="1">
      <c r="B64" s="543" t="s">
        <v>403</v>
      </c>
      <c r="C64" s="543"/>
      <c r="D64" s="543">
        <v>70</v>
      </c>
    </row>
    <row r="65" spans="2:4" hidden="1">
      <c r="B65" s="543" t="s">
        <v>398</v>
      </c>
      <c r="C65" s="543"/>
      <c r="D65" s="543">
        <v>80</v>
      </c>
    </row>
    <row r="66" spans="2:4" hidden="1">
      <c r="B66" s="543" t="s">
        <v>399</v>
      </c>
      <c r="C66" s="543"/>
      <c r="D66" s="543" t="s">
        <v>400</v>
      </c>
    </row>
    <row r="67" spans="2:4" hidden="1">
      <c r="B67" s="543" t="s">
        <v>401</v>
      </c>
      <c r="C67" s="543"/>
      <c r="D67" s="543">
        <v>95</v>
      </c>
    </row>
    <row r="83" spans="2:11" ht="15" hidden="1">
      <c r="B83" s="716" t="s">
        <v>1004</v>
      </c>
      <c r="C83" s="716"/>
      <c r="D83" s="716"/>
      <c r="E83" s="716"/>
      <c r="F83" s="716"/>
      <c r="G83" s="716"/>
      <c r="H83" s="716"/>
      <c r="I83" s="716"/>
      <c r="J83" s="716"/>
      <c r="K83" s="716"/>
    </row>
    <row r="85" spans="2:11" ht="15" hidden="1">
      <c r="B85" s="716" t="s">
        <v>1005</v>
      </c>
      <c r="C85" s="716"/>
      <c r="D85" s="716"/>
      <c r="E85" s="716"/>
      <c r="F85" s="716"/>
      <c r="G85" s="716"/>
      <c r="H85" s="716"/>
      <c r="I85" s="716"/>
      <c r="J85" s="716"/>
      <c r="K85" s="716"/>
    </row>
    <row r="90" spans="2:11" ht="15" hidden="1">
      <c r="B90" s="126" t="s">
        <v>438</v>
      </c>
      <c r="C90" s="126"/>
    </row>
  </sheetData>
  <sheetProtection algorithmName="SHA-512" hashValue="YeNeof4XzLAVRftclL+kZM7bOs3rbQH5vGTyOpnNkfqbx09C9bHMoXV6KuTqkbpsuH9PgI/nqGDuN0w8slfvRg==" saltValue="zI+DOZnRKTEAEYglzmPLZw==" spinCount="100000" sheet="1" objects="1" scenarios="1" formatColumns="0" formatRows="0" autoFilter="0"/>
  <mergeCells count="9">
    <mergeCell ref="A1:M1"/>
    <mergeCell ref="B7:D7"/>
    <mergeCell ref="B83:K83"/>
    <mergeCell ref="B85:K85"/>
    <mergeCell ref="A2:M2"/>
    <mergeCell ref="A3:M3"/>
    <mergeCell ref="A4:M4"/>
    <mergeCell ref="A6:M6"/>
    <mergeCell ref="A28:D28"/>
  </mergeCells>
  <dataValidations count="7">
    <dataValidation type="decimal" allowBlank="1" showInputMessage="1" showErrorMessage="1" sqref="D15:M15" xr:uid="{EAF585AF-C0AD-403E-BB08-5189C3698EE5}">
      <formula1>0</formula1>
      <formula2>1</formula2>
    </dataValidation>
    <dataValidation allowBlank="1" showErrorMessage="1" promptTitle="Note" prompt="Notes of source in this column." sqref="D26:M26" xr:uid="{264CA911-2A7F-4246-A813-DC3E309D2B5E}"/>
    <dataValidation allowBlank="1" showErrorMessage="1" promptTitle="General" prompt="Stockpile area (acres)" sqref="D14:M14" xr:uid="{B9CE5D3F-335F-439E-97B1-7625E81255A4}"/>
    <dataValidation type="decimal" allowBlank="1" showErrorMessage="1" promptTitle="General" prompt="Number of active days per year (days/yr)" sqref="D16:M16" xr:uid="{053DD58B-0F94-4C6B-9863-5A20C87F565B}">
      <formula1>0</formula1>
      <formula2>365</formula2>
    </dataValidation>
    <dataValidation allowBlank="1" showInputMessage="1" showErrorMessage="1" promptTitle="Helper Row: Code" prompt="This code is the epn counter- it keeps track of populated progresively through the calc sheets for the [Emission Summary]tab" sqref="A30" xr:uid="{0EB446CD-A630-457D-AF9A-183ED7F5A517}"/>
    <dataValidation type="textLength" errorStyle="warning" operator="lessThanOrEqual" allowBlank="1" showErrorMessage="1" errorTitle="FIN Too Long" error="The Facility Information Number (FIN) must be 10 characters or fewer in length." promptTitle="General" prompt="Facility Information Number (FIN)" sqref="D11:M11" xr:uid="{537A40D1-F670-44D8-A99A-6A04B830D920}">
      <formula1>10</formula1>
    </dataValidation>
    <dataValidation type="textLength" errorStyle="warning" operator="lessThanOrEqual" allowBlank="1" showErrorMessage="1" errorTitle="EPN Too Long" error="The Emission Point Number (EPN) must be 10 characters or fewer in length." promptTitle="General" prompt="Emission Point Number (EPN) " sqref="D10:M10" xr:uid="{F0E40BC4-2087-4ECB-8A57-969D018DCC40}">
      <formula1>10</formula1>
    </dataValidation>
  </dataValidations>
  <hyperlinks>
    <hyperlink ref="A4" r:id="rId1" xr:uid="{F4D54369-F4FC-441F-A5CF-F4332ACE176E}"/>
  </hyperlinks>
  <pageMargins left="0.7" right="0.7" top="0.75" bottom="0.75" header="0.3" footer="0.3"/>
  <pageSetup orientation="portrait"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964121D2-52DB-4043-A11B-676843F7A932}">
          <x14:formula1>
            <xm:f>Reference!$A$62:$A$70</xm:f>
          </x14:formula1>
          <xm:sqref>D13:M13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7F6EC-D83A-45D1-B074-83C8DFF6BE4C}">
  <sheetPr codeName="Sheet9">
    <tabColor rgb="FFFFFFCC"/>
  </sheetPr>
  <dimension ref="A1:AG52"/>
  <sheetViews>
    <sheetView showGridLines="0" workbookViewId="0">
      <selection sqref="A1:M1"/>
    </sheetView>
  </sheetViews>
  <sheetFormatPr defaultColWidth="0" defaultRowHeight="14.25" zeroHeight="1"/>
  <cols>
    <col min="1" max="1" width="10.7109375" style="131" customWidth="1"/>
    <col min="2" max="2" width="23.85546875" style="131" customWidth="1"/>
    <col min="3" max="3" width="11.7109375" style="131" customWidth="1"/>
    <col min="4" max="13" width="12.7109375" style="131" customWidth="1"/>
    <col min="14" max="14" width="2.7109375" style="131" customWidth="1"/>
    <col min="15" max="33" width="14.7109375" style="131" hidden="1" customWidth="1"/>
    <col min="34" max="16384" width="9.140625" style="131" hidden="1"/>
  </cols>
  <sheetData>
    <row r="1" spans="1:13" ht="18.75" customHeight="1" thickBot="1">
      <c r="A1" s="678" t="s">
        <v>973</v>
      </c>
      <c r="B1" s="691"/>
      <c r="C1" s="691"/>
      <c r="D1" s="653"/>
      <c r="E1" s="653"/>
      <c r="F1" s="653"/>
      <c r="G1" s="653"/>
      <c r="H1" s="653"/>
      <c r="I1" s="653"/>
      <c r="J1" s="653"/>
      <c r="K1" s="653"/>
      <c r="L1" s="653"/>
      <c r="M1" s="654"/>
    </row>
    <row r="2" spans="1:13" s="386" customFormat="1" ht="20.100000000000001" customHeight="1">
      <c r="A2" s="692" t="s">
        <v>1006</v>
      </c>
      <c r="B2" s="693"/>
      <c r="C2" s="693"/>
      <c r="D2" s="693"/>
      <c r="E2" s="693"/>
      <c r="F2" s="693"/>
      <c r="G2" s="693"/>
      <c r="H2" s="693"/>
      <c r="I2" s="693"/>
      <c r="J2" s="694"/>
      <c r="K2" s="694"/>
      <c r="L2" s="694"/>
      <c r="M2" s="695"/>
    </row>
    <row r="3" spans="1:13" s="386" customFormat="1" ht="20.100000000000001" customHeight="1">
      <c r="A3" s="635" t="s">
        <v>1027</v>
      </c>
      <c r="B3" s="644"/>
      <c r="C3" s="644"/>
      <c r="D3" s="644"/>
      <c r="E3" s="644"/>
      <c r="F3" s="644"/>
      <c r="G3" s="644"/>
      <c r="H3" s="644"/>
      <c r="I3" s="644"/>
      <c r="J3" s="644"/>
      <c r="K3" s="644"/>
      <c r="L3" s="644"/>
      <c r="M3" s="629"/>
    </row>
    <row r="4" spans="1:13" s="386" customFormat="1" ht="20.100000000000001" customHeight="1">
      <c r="A4" s="628" t="s">
        <v>918</v>
      </c>
      <c r="B4" s="718"/>
      <c r="C4" s="718"/>
      <c r="D4" s="718"/>
      <c r="E4" s="718"/>
      <c r="F4" s="718"/>
      <c r="G4" s="718"/>
      <c r="H4" s="718"/>
      <c r="I4" s="718"/>
      <c r="J4" s="718"/>
      <c r="K4" s="718"/>
      <c r="L4" s="718"/>
      <c r="M4" s="719"/>
    </row>
    <row r="5" spans="1:13" s="386" customFormat="1" ht="15" customHeight="1">
      <c r="A5" s="529"/>
      <c r="B5" s="134"/>
      <c r="C5" s="134"/>
      <c r="D5" s="134"/>
      <c r="E5" s="134"/>
      <c r="F5" s="134"/>
      <c r="G5" s="134"/>
      <c r="H5" s="134"/>
      <c r="I5" s="134"/>
      <c r="J5" s="134"/>
      <c r="K5" s="134"/>
      <c r="L5" s="134"/>
      <c r="M5" s="533"/>
    </row>
    <row r="6" spans="1:13" s="386" customFormat="1" ht="75" customHeight="1" thickBot="1">
      <c r="A6" s="696" t="s">
        <v>1094</v>
      </c>
      <c r="B6" s="697"/>
      <c r="C6" s="697"/>
      <c r="D6" s="697"/>
      <c r="E6" s="697"/>
      <c r="F6" s="697"/>
      <c r="G6" s="697"/>
      <c r="H6" s="697"/>
      <c r="I6" s="697"/>
      <c r="J6" s="698"/>
      <c r="K6" s="698"/>
      <c r="L6" s="698"/>
      <c r="M6" s="699"/>
    </row>
    <row r="7" spans="1:13" s="386" customFormat="1" ht="18.75" customHeight="1" thickBot="1">
      <c r="A7" s="369"/>
      <c r="J7" s="131"/>
      <c r="K7" s="131"/>
      <c r="L7" s="131"/>
      <c r="M7" s="131"/>
    </row>
    <row r="8" spans="1:13" ht="20.100000000000001" customHeight="1" thickBot="1">
      <c r="A8" s="477" t="s">
        <v>477</v>
      </c>
      <c r="B8" s="124"/>
      <c r="C8" s="125"/>
      <c r="D8" s="125"/>
      <c r="E8" s="125"/>
      <c r="F8" s="125"/>
      <c r="G8" s="125"/>
      <c r="H8" s="125"/>
      <c r="I8" s="125"/>
      <c r="J8" s="125"/>
      <c r="K8" s="485"/>
      <c r="L8" s="485"/>
      <c r="M8" s="518"/>
    </row>
    <row r="9" spans="1:13" s="386" customFormat="1" ht="20.100000000000001" customHeight="1" thickBot="1">
      <c r="A9" s="301" t="s">
        <v>457</v>
      </c>
      <c r="B9" s="486" t="s">
        <v>449</v>
      </c>
      <c r="C9" s="487" t="s">
        <v>149</v>
      </c>
      <c r="D9" s="488" t="s">
        <v>460</v>
      </c>
      <c r="E9" s="489" t="s">
        <v>461</v>
      </c>
      <c r="F9" s="489" t="s">
        <v>462</v>
      </c>
      <c r="G9" s="489" t="s">
        <v>463</v>
      </c>
      <c r="H9" s="489" t="s">
        <v>464</v>
      </c>
      <c r="I9" s="489" t="s">
        <v>465</v>
      </c>
      <c r="J9" s="489" t="s">
        <v>466</v>
      </c>
      <c r="K9" s="489" t="s">
        <v>467</v>
      </c>
      <c r="L9" s="489" t="s">
        <v>468</v>
      </c>
      <c r="M9" s="489" t="s">
        <v>469</v>
      </c>
    </row>
    <row r="10" spans="1:13" ht="20.100000000000001" customHeight="1">
      <c r="A10" s="490" t="s">
        <v>458</v>
      </c>
      <c r="B10" s="163" t="s">
        <v>354</v>
      </c>
      <c r="C10" s="491" t="s">
        <v>99</v>
      </c>
      <c r="D10" s="547"/>
      <c r="E10" s="249"/>
      <c r="F10" s="249"/>
      <c r="G10" s="249"/>
      <c r="H10" s="249"/>
      <c r="I10" s="249"/>
      <c r="J10" s="249"/>
      <c r="K10" s="249"/>
      <c r="L10" s="249"/>
      <c r="M10" s="249"/>
    </row>
    <row r="11" spans="1:13" ht="17.100000000000001" customHeight="1">
      <c r="A11" s="494" t="str">
        <f>A10</f>
        <v>General</v>
      </c>
      <c r="B11" s="164" t="s">
        <v>482</v>
      </c>
      <c r="C11" s="492" t="s">
        <v>99</v>
      </c>
      <c r="D11" s="493"/>
      <c r="E11" s="251"/>
      <c r="F11" s="251"/>
      <c r="G11" s="251"/>
      <c r="H11" s="251"/>
      <c r="I11" s="251"/>
      <c r="J11" s="251"/>
      <c r="K11" s="251"/>
      <c r="L11" s="251"/>
      <c r="M11" s="251"/>
    </row>
    <row r="12" spans="1:13" s="134" customFormat="1" ht="30" customHeight="1">
      <c r="A12" s="494" t="str">
        <f t="shared" ref="A12:A19" si="0">A11</f>
        <v>General</v>
      </c>
      <c r="B12" s="164" t="s">
        <v>1053</v>
      </c>
      <c r="C12" s="495" t="s">
        <v>99</v>
      </c>
      <c r="D12" s="305"/>
      <c r="E12" s="250"/>
      <c r="F12" s="250"/>
      <c r="G12" s="250"/>
      <c r="H12" s="250"/>
      <c r="I12" s="250"/>
      <c r="J12" s="250"/>
      <c r="K12" s="250"/>
      <c r="L12" s="250"/>
      <c r="M12" s="250"/>
    </row>
    <row r="13" spans="1:13" ht="39.950000000000003" customHeight="1">
      <c r="A13" s="494" t="str">
        <f t="shared" si="0"/>
        <v>General</v>
      </c>
      <c r="B13" s="164" t="s">
        <v>511</v>
      </c>
      <c r="C13" s="492" t="s">
        <v>99</v>
      </c>
      <c r="D13" s="493"/>
      <c r="E13" s="251"/>
      <c r="F13" s="251"/>
      <c r="G13" s="251"/>
      <c r="H13" s="251"/>
      <c r="I13" s="251"/>
      <c r="J13" s="251"/>
      <c r="K13" s="251"/>
      <c r="L13" s="251"/>
      <c r="M13" s="251"/>
    </row>
    <row r="14" spans="1:13" ht="20.100000000000001" customHeight="1">
      <c r="A14" s="494" t="str">
        <f t="shared" si="0"/>
        <v>General</v>
      </c>
      <c r="B14" s="164" t="s">
        <v>507</v>
      </c>
      <c r="C14" s="495" t="s">
        <v>99</v>
      </c>
      <c r="D14" s="469"/>
      <c r="E14" s="465"/>
      <c r="F14" s="465"/>
      <c r="G14" s="465"/>
      <c r="H14" s="465"/>
      <c r="I14" s="465"/>
      <c r="J14" s="465"/>
      <c r="K14" s="465"/>
      <c r="L14" s="465"/>
      <c r="M14" s="465"/>
    </row>
    <row r="15" spans="1:13" ht="20.100000000000001" customHeight="1">
      <c r="A15" s="494" t="str">
        <f t="shared" si="0"/>
        <v>General</v>
      </c>
      <c r="B15" s="164" t="s">
        <v>959</v>
      </c>
      <c r="C15" s="495" t="s">
        <v>454</v>
      </c>
      <c r="D15" s="469"/>
      <c r="E15" s="465"/>
      <c r="F15" s="465"/>
      <c r="G15" s="465"/>
      <c r="H15" s="465"/>
      <c r="I15" s="465"/>
      <c r="J15" s="465"/>
      <c r="K15" s="465"/>
      <c r="L15" s="465"/>
      <c r="M15" s="465"/>
    </row>
    <row r="16" spans="1:13" ht="20.100000000000001" customHeight="1">
      <c r="A16" s="494" t="str">
        <f t="shared" si="0"/>
        <v>General</v>
      </c>
      <c r="B16" s="164" t="s">
        <v>958</v>
      </c>
      <c r="C16" s="495" t="s">
        <v>454</v>
      </c>
      <c r="D16" s="469"/>
      <c r="E16" s="465"/>
      <c r="F16" s="465"/>
      <c r="G16" s="465"/>
      <c r="H16" s="465"/>
      <c r="I16" s="465"/>
      <c r="J16" s="465"/>
      <c r="K16" s="465"/>
      <c r="L16" s="465"/>
      <c r="M16" s="465"/>
    </row>
    <row r="17" spans="1:13" ht="20.100000000000001" customHeight="1">
      <c r="A17" s="494" t="str">
        <f t="shared" si="0"/>
        <v>General</v>
      </c>
      <c r="B17" s="164" t="s">
        <v>510</v>
      </c>
      <c r="C17" s="495" t="s">
        <v>423</v>
      </c>
      <c r="D17" s="469"/>
      <c r="E17" s="465"/>
      <c r="F17" s="465"/>
      <c r="G17" s="465"/>
      <c r="H17" s="465"/>
      <c r="I17" s="465"/>
      <c r="J17" s="465"/>
      <c r="K17" s="465"/>
      <c r="L17" s="465"/>
      <c r="M17" s="465"/>
    </row>
    <row r="18" spans="1:13" s="134" customFormat="1" ht="20.100000000000001" customHeight="1">
      <c r="A18" s="494" t="str">
        <f t="shared" si="0"/>
        <v>General</v>
      </c>
      <c r="B18" s="288" t="s">
        <v>509</v>
      </c>
      <c r="C18" s="495" t="s">
        <v>35</v>
      </c>
      <c r="D18" s="469"/>
      <c r="E18" s="465"/>
      <c r="F18" s="465"/>
      <c r="G18" s="465"/>
      <c r="H18" s="465"/>
      <c r="I18" s="465"/>
      <c r="J18" s="465"/>
      <c r="K18" s="465"/>
      <c r="L18" s="465"/>
      <c r="M18" s="465"/>
    </row>
    <row r="19" spans="1:13" s="134" customFormat="1" ht="20.100000000000001" customHeight="1" thickBot="1">
      <c r="A19" s="496" t="str">
        <f t="shared" si="0"/>
        <v>General</v>
      </c>
      <c r="B19" s="513" t="s">
        <v>533</v>
      </c>
      <c r="C19" s="616" t="s">
        <v>476</v>
      </c>
      <c r="D19" s="617"/>
      <c r="E19" s="618"/>
      <c r="F19" s="618"/>
      <c r="G19" s="618"/>
      <c r="H19" s="618"/>
      <c r="I19" s="618"/>
      <c r="J19" s="618"/>
      <c r="K19" s="618"/>
      <c r="L19" s="618"/>
      <c r="M19" s="618"/>
    </row>
    <row r="20" spans="1:13" s="134" customFormat="1" ht="20.100000000000001" customHeight="1">
      <c r="A20" s="497" t="s">
        <v>439</v>
      </c>
      <c r="B20" s="163" t="s">
        <v>1036</v>
      </c>
      <c r="C20" s="498" t="s">
        <v>405</v>
      </c>
      <c r="D20" s="499">
        <f t="shared" ref="D20:M20" si="1">IF(OR(D10="",D13="Truck Loadout"),0,0.000332+0.00105*(ABS(D14))*EXP((0.0251*(D16+460)-20.43)))</f>
        <v>0</v>
      </c>
      <c r="E20" s="426">
        <f t="shared" si="1"/>
        <v>0</v>
      </c>
      <c r="F20" s="426">
        <f t="shared" si="1"/>
        <v>0</v>
      </c>
      <c r="G20" s="426">
        <f t="shared" si="1"/>
        <v>0</v>
      </c>
      <c r="H20" s="426">
        <f t="shared" si="1"/>
        <v>0</v>
      </c>
      <c r="I20" s="426">
        <f t="shared" si="1"/>
        <v>0</v>
      </c>
      <c r="J20" s="426">
        <f t="shared" si="1"/>
        <v>0</v>
      </c>
      <c r="K20" s="426">
        <f t="shared" si="1"/>
        <v>0</v>
      </c>
      <c r="L20" s="426">
        <f t="shared" si="1"/>
        <v>0</v>
      </c>
      <c r="M20" s="426">
        <f t="shared" si="1"/>
        <v>0</v>
      </c>
    </row>
    <row r="21" spans="1:13" s="134" customFormat="1" ht="20.100000000000001" customHeight="1">
      <c r="A21" s="494" t="s">
        <v>439</v>
      </c>
      <c r="B21" s="164" t="s">
        <v>1037</v>
      </c>
      <c r="C21" s="492" t="s">
        <v>34</v>
      </c>
      <c r="D21" s="500">
        <f t="shared" ref="D21:G21" si="2">D20*D$17</f>
        <v>0</v>
      </c>
      <c r="E21" s="431">
        <f t="shared" si="2"/>
        <v>0</v>
      </c>
      <c r="F21" s="431">
        <f t="shared" si="2"/>
        <v>0</v>
      </c>
      <c r="G21" s="431">
        <f t="shared" si="2"/>
        <v>0</v>
      </c>
      <c r="H21" s="431">
        <f t="shared" ref="H21:M21" si="3">H20*H$17</f>
        <v>0</v>
      </c>
      <c r="I21" s="431">
        <f t="shared" si="3"/>
        <v>0</v>
      </c>
      <c r="J21" s="431">
        <f t="shared" si="3"/>
        <v>0</v>
      </c>
      <c r="K21" s="431">
        <f t="shared" si="3"/>
        <v>0</v>
      </c>
      <c r="L21" s="431">
        <f t="shared" si="3"/>
        <v>0</v>
      </c>
      <c r="M21" s="431">
        <f t="shared" si="3"/>
        <v>0</v>
      </c>
    </row>
    <row r="22" spans="1:13" s="134" customFormat="1" ht="20.100000000000001" customHeight="1" thickBot="1">
      <c r="A22" s="494" t="s">
        <v>439</v>
      </c>
      <c r="B22" s="501" t="s">
        <v>1038</v>
      </c>
      <c r="C22" s="502" t="s">
        <v>35</v>
      </c>
      <c r="D22" s="503">
        <f>D$18*D20</f>
        <v>0</v>
      </c>
      <c r="E22" s="504">
        <f t="shared" ref="E22:G22" si="4">E$18*E20</f>
        <v>0</v>
      </c>
      <c r="F22" s="504">
        <f t="shared" si="4"/>
        <v>0</v>
      </c>
      <c r="G22" s="504">
        <f t="shared" si="4"/>
        <v>0</v>
      </c>
      <c r="H22" s="504">
        <f t="shared" ref="H22:M22" si="5">H$18*H20</f>
        <v>0</v>
      </c>
      <c r="I22" s="504">
        <f t="shared" si="5"/>
        <v>0</v>
      </c>
      <c r="J22" s="504">
        <f t="shared" si="5"/>
        <v>0</v>
      </c>
      <c r="K22" s="504">
        <f t="shared" si="5"/>
        <v>0</v>
      </c>
      <c r="L22" s="504">
        <f t="shared" si="5"/>
        <v>0</v>
      </c>
      <c r="M22" s="504">
        <f t="shared" si="5"/>
        <v>0</v>
      </c>
    </row>
    <row r="23" spans="1:13" s="134" customFormat="1" ht="20.100000000000001" customHeight="1">
      <c r="A23" s="494" t="s">
        <v>439</v>
      </c>
      <c r="B23" s="163" t="s">
        <v>1039</v>
      </c>
      <c r="C23" s="498" t="s">
        <v>405</v>
      </c>
      <c r="D23" s="499">
        <f>IF(OR(D10="",D13="Truck Loadout"),0,0.00488*(ABS(D14))*EXP((0.0251*(D16+460)-20.43)))</f>
        <v>0</v>
      </c>
      <c r="E23" s="426">
        <f>IF(OR(E10="",E13="Truck Loadout"),0,0.00488*(ABS(E14))*EXP((0.0251*(E16+460)-20.43)))</f>
        <v>0</v>
      </c>
      <c r="F23" s="426">
        <f>IF(OR(F10="",F13="Truck Loadout"),0,0.00488*(ABS(F14))*EXP((0.0251*(F16+460)-20.43)))</f>
        <v>0</v>
      </c>
      <c r="G23" s="426">
        <f t="shared" ref="G23:M23" si="6">0.00488*(ABS(G14))*EXP((0.0251*(G16+460)-20.43))</f>
        <v>0</v>
      </c>
      <c r="H23" s="426">
        <f t="shared" si="6"/>
        <v>0</v>
      </c>
      <c r="I23" s="426">
        <f t="shared" si="6"/>
        <v>0</v>
      </c>
      <c r="J23" s="426">
        <f t="shared" si="6"/>
        <v>0</v>
      </c>
      <c r="K23" s="426">
        <f t="shared" si="6"/>
        <v>0</v>
      </c>
      <c r="L23" s="426">
        <f t="shared" si="6"/>
        <v>0</v>
      </c>
      <c r="M23" s="426">
        <f t="shared" si="6"/>
        <v>0</v>
      </c>
    </row>
    <row r="24" spans="1:13" s="134" customFormat="1" ht="20.100000000000001" customHeight="1">
      <c r="A24" s="494" t="s">
        <v>439</v>
      </c>
      <c r="B24" s="164" t="s">
        <v>1040</v>
      </c>
      <c r="C24" s="492" t="s">
        <v>34</v>
      </c>
      <c r="D24" s="500">
        <f t="shared" ref="D24:G24" si="7">D23*D$17</f>
        <v>0</v>
      </c>
      <c r="E24" s="431">
        <f t="shared" si="7"/>
        <v>0</v>
      </c>
      <c r="F24" s="431">
        <f t="shared" si="7"/>
        <v>0</v>
      </c>
      <c r="G24" s="431">
        <f t="shared" si="7"/>
        <v>0</v>
      </c>
      <c r="H24" s="431">
        <f t="shared" ref="H24:M24" si="8">H23*H$17</f>
        <v>0</v>
      </c>
      <c r="I24" s="431">
        <f t="shared" si="8"/>
        <v>0</v>
      </c>
      <c r="J24" s="431">
        <f t="shared" si="8"/>
        <v>0</v>
      </c>
      <c r="K24" s="431">
        <f t="shared" si="8"/>
        <v>0</v>
      </c>
      <c r="L24" s="431">
        <f t="shared" si="8"/>
        <v>0</v>
      </c>
      <c r="M24" s="431">
        <f t="shared" si="8"/>
        <v>0</v>
      </c>
    </row>
    <row r="25" spans="1:13" s="134" customFormat="1" ht="20.100000000000001" customHeight="1" thickBot="1">
      <c r="A25" s="494" t="s">
        <v>439</v>
      </c>
      <c r="B25" s="232" t="s">
        <v>1041</v>
      </c>
      <c r="C25" s="505" t="s">
        <v>35</v>
      </c>
      <c r="D25" s="506">
        <f t="shared" ref="D25:G25" si="9">D$18*D23</f>
        <v>0</v>
      </c>
      <c r="E25" s="507">
        <f t="shared" si="9"/>
        <v>0</v>
      </c>
      <c r="F25" s="507">
        <f t="shared" si="9"/>
        <v>0</v>
      </c>
      <c r="G25" s="507">
        <f t="shared" si="9"/>
        <v>0</v>
      </c>
      <c r="H25" s="507">
        <f t="shared" ref="H25:M25" si="10">H$18*H23</f>
        <v>0</v>
      </c>
      <c r="I25" s="507">
        <f t="shared" si="10"/>
        <v>0</v>
      </c>
      <c r="J25" s="507">
        <f t="shared" si="10"/>
        <v>0</v>
      </c>
      <c r="K25" s="507">
        <f t="shared" si="10"/>
        <v>0</v>
      </c>
      <c r="L25" s="507">
        <f t="shared" si="10"/>
        <v>0</v>
      </c>
      <c r="M25" s="507">
        <f t="shared" si="10"/>
        <v>0</v>
      </c>
    </row>
    <row r="26" spans="1:13" s="134" customFormat="1" ht="20.100000000000001" customHeight="1">
      <c r="A26" s="494" t="s">
        <v>439</v>
      </c>
      <c r="B26" s="231" t="s">
        <v>1042</v>
      </c>
      <c r="C26" s="498" t="s">
        <v>405</v>
      </c>
      <c r="D26" s="508">
        <f>IF(OR(D10="",D13="Truck Loadout"),0,0.0504*(ABS(D14))*EXP((0.0251*(D16+460)-20.43)))</f>
        <v>0</v>
      </c>
      <c r="E26" s="432">
        <f>IF(OR(E10="",E13="Truck Loadout"),0,0.0504*(ABS(E14))*EXP((0.0251*(E16+460)-20.43)))</f>
        <v>0</v>
      </c>
      <c r="F26" s="432">
        <f>IF(OR(F10="",F13="Truck Loadout"),0,0.0504*(ABS(F14))*EXP((0.0251*(F16+460)-20.43)))</f>
        <v>0</v>
      </c>
      <c r="G26" s="432">
        <f t="shared" ref="G26:M26" si="11">0.0504*(ABS(G14))*EXP((0.0251*(G16+460)-20.43))</f>
        <v>0</v>
      </c>
      <c r="H26" s="432">
        <f t="shared" si="11"/>
        <v>0</v>
      </c>
      <c r="I26" s="432">
        <f t="shared" si="11"/>
        <v>0</v>
      </c>
      <c r="J26" s="432">
        <f t="shared" si="11"/>
        <v>0</v>
      </c>
      <c r="K26" s="432">
        <f t="shared" si="11"/>
        <v>0</v>
      </c>
      <c r="L26" s="432">
        <f t="shared" si="11"/>
        <v>0</v>
      </c>
      <c r="M26" s="432">
        <f t="shared" si="11"/>
        <v>0</v>
      </c>
    </row>
    <row r="27" spans="1:13" s="134" customFormat="1" ht="20.100000000000001" customHeight="1">
      <c r="A27" s="494" t="s">
        <v>439</v>
      </c>
      <c r="B27" s="164" t="s">
        <v>1043</v>
      </c>
      <c r="C27" s="492" t="s">
        <v>34</v>
      </c>
      <c r="D27" s="500">
        <f t="shared" ref="D27:M27" si="12">D26*D$17</f>
        <v>0</v>
      </c>
      <c r="E27" s="431">
        <f t="shared" si="12"/>
        <v>0</v>
      </c>
      <c r="F27" s="431">
        <f t="shared" si="12"/>
        <v>0</v>
      </c>
      <c r="G27" s="431">
        <f t="shared" si="12"/>
        <v>0</v>
      </c>
      <c r="H27" s="431">
        <f t="shared" si="12"/>
        <v>0</v>
      </c>
      <c r="I27" s="431">
        <f t="shared" si="12"/>
        <v>0</v>
      </c>
      <c r="J27" s="431">
        <f t="shared" si="12"/>
        <v>0</v>
      </c>
      <c r="K27" s="431">
        <f t="shared" si="12"/>
        <v>0</v>
      </c>
      <c r="L27" s="431">
        <f t="shared" si="12"/>
        <v>0</v>
      </c>
      <c r="M27" s="431">
        <f t="shared" si="12"/>
        <v>0</v>
      </c>
    </row>
    <row r="28" spans="1:13" s="134" customFormat="1" ht="20.100000000000001" customHeight="1" thickBot="1">
      <c r="A28" s="496" t="s">
        <v>439</v>
      </c>
      <c r="B28" s="232" t="s">
        <v>1044</v>
      </c>
      <c r="C28" s="505" t="s">
        <v>35</v>
      </c>
      <c r="D28" s="509">
        <f t="shared" ref="D28:M28" si="13">D$18*D26</f>
        <v>0</v>
      </c>
      <c r="E28" s="504">
        <f t="shared" si="13"/>
        <v>0</v>
      </c>
      <c r="F28" s="504">
        <f t="shared" si="13"/>
        <v>0</v>
      </c>
      <c r="G28" s="504">
        <f t="shared" si="13"/>
        <v>0</v>
      </c>
      <c r="H28" s="504">
        <f t="shared" si="13"/>
        <v>0</v>
      </c>
      <c r="I28" s="504">
        <f t="shared" si="13"/>
        <v>0</v>
      </c>
      <c r="J28" s="504">
        <f t="shared" si="13"/>
        <v>0</v>
      </c>
      <c r="K28" s="504">
        <f t="shared" si="13"/>
        <v>0</v>
      </c>
      <c r="L28" s="504">
        <f t="shared" si="13"/>
        <v>0</v>
      </c>
      <c r="M28" s="504">
        <f t="shared" si="13"/>
        <v>0</v>
      </c>
    </row>
    <row r="29" spans="1:13" s="134" customFormat="1" ht="20.100000000000001" customHeight="1">
      <c r="A29" s="497" t="s">
        <v>440</v>
      </c>
      <c r="B29" s="163" t="s">
        <v>1036</v>
      </c>
      <c r="C29" s="498" t="s">
        <v>405</v>
      </c>
      <c r="D29" s="499">
        <f t="shared" ref="D29:M29" si="14">IF(OR(D10="",D13="Silo filling"),0,0.000181+((0.00141)*(ABS(D14)*EXP(((0.0251)*(D15+460)-20.43)))))</f>
        <v>0</v>
      </c>
      <c r="E29" s="426">
        <f t="shared" si="14"/>
        <v>0</v>
      </c>
      <c r="F29" s="426">
        <f t="shared" si="14"/>
        <v>0</v>
      </c>
      <c r="G29" s="426">
        <f t="shared" si="14"/>
        <v>0</v>
      </c>
      <c r="H29" s="426">
        <f t="shared" si="14"/>
        <v>0</v>
      </c>
      <c r="I29" s="426">
        <f t="shared" si="14"/>
        <v>0</v>
      </c>
      <c r="J29" s="426">
        <f t="shared" si="14"/>
        <v>0</v>
      </c>
      <c r="K29" s="426">
        <f t="shared" si="14"/>
        <v>0</v>
      </c>
      <c r="L29" s="426">
        <f t="shared" si="14"/>
        <v>0</v>
      </c>
      <c r="M29" s="426">
        <f t="shared" si="14"/>
        <v>0</v>
      </c>
    </row>
    <row r="30" spans="1:13" s="134" customFormat="1" ht="20.100000000000001" customHeight="1">
      <c r="A30" s="494" t="s">
        <v>440</v>
      </c>
      <c r="B30" s="164" t="s">
        <v>1037</v>
      </c>
      <c r="C30" s="492" t="s">
        <v>34</v>
      </c>
      <c r="D30" s="500">
        <f t="shared" ref="D30:M30" si="15">D29*D$17</f>
        <v>0</v>
      </c>
      <c r="E30" s="431">
        <f t="shared" si="15"/>
        <v>0</v>
      </c>
      <c r="F30" s="431">
        <f t="shared" si="15"/>
        <v>0</v>
      </c>
      <c r="G30" s="431">
        <f t="shared" si="15"/>
        <v>0</v>
      </c>
      <c r="H30" s="431">
        <f t="shared" si="15"/>
        <v>0</v>
      </c>
      <c r="I30" s="431">
        <f t="shared" si="15"/>
        <v>0</v>
      </c>
      <c r="J30" s="431">
        <f t="shared" si="15"/>
        <v>0</v>
      </c>
      <c r="K30" s="431">
        <f t="shared" si="15"/>
        <v>0</v>
      </c>
      <c r="L30" s="431">
        <f t="shared" si="15"/>
        <v>0</v>
      </c>
      <c r="M30" s="431">
        <f t="shared" si="15"/>
        <v>0</v>
      </c>
    </row>
    <row r="31" spans="1:13" s="134" customFormat="1" ht="20.100000000000001" customHeight="1" thickBot="1">
      <c r="A31" s="494" t="s">
        <v>440</v>
      </c>
      <c r="B31" s="501" t="s">
        <v>1038</v>
      </c>
      <c r="C31" s="505" t="s">
        <v>35</v>
      </c>
      <c r="D31" s="509">
        <f>D29*D$18</f>
        <v>0</v>
      </c>
      <c r="E31" s="504">
        <f t="shared" ref="E31:M31" si="16">E29*E$18</f>
        <v>0</v>
      </c>
      <c r="F31" s="504">
        <f t="shared" si="16"/>
        <v>0</v>
      </c>
      <c r="G31" s="504">
        <f t="shared" si="16"/>
        <v>0</v>
      </c>
      <c r="H31" s="504">
        <f t="shared" si="16"/>
        <v>0</v>
      </c>
      <c r="I31" s="504">
        <f t="shared" si="16"/>
        <v>0</v>
      </c>
      <c r="J31" s="504">
        <f t="shared" si="16"/>
        <v>0</v>
      </c>
      <c r="K31" s="504">
        <f t="shared" si="16"/>
        <v>0</v>
      </c>
      <c r="L31" s="504">
        <f t="shared" si="16"/>
        <v>0</v>
      </c>
      <c r="M31" s="504">
        <f t="shared" si="16"/>
        <v>0</v>
      </c>
    </row>
    <row r="32" spans="1:13" s="134" customFormat="1" ht="20.100000000000001" customHeight="1">
      <c r="A32" s="494" t="s">
        <v>440</v>
      </c>
      <c r="B32" s="163" t="s">
        <v>1039</v>
      </c>
      <c r="C32" s="498" t="s">
        <v>405</v>
      </c>
      <c r="D32" s="499">
        <f t="shared" ref="D32:M32" si="17">IF(OR(D10="",D13="Silo filling"),0,0.00558*(ABS(D14))*EXP((0.0251*(460+D15)-20.43)))</f>
        <v>0</v>
      </c>
      <c r="E32" s="426">
        <f t="shared" si="17"/>
        <v>0</v>
      </c>
      <c r="F32" s="426">
        <f t="shared" si="17"/>
        <v>0</v>
      </c>
      <c r="G32" s="426">
        <f t="shared" si="17"/>
        <v>0</v>
      </c>
      <c r="H32" s="426">
        <f t="shared" si="17"/>
        <v>0</v>
      </c>
      <c r="I32" s="426">
        <f t="shared" si="17"/>
        <v>0</v>
      </c>
      <c r="J32" s="426">
        <f t="shared" si="17"/>
        <v>0</v>
      </c>
      <c r="K32" s="426">
        <f t="shared" si="17"/>
        <v>0</v>
      </c>
      <c r="L32" s="426">
        <f t="shared" si="17"/>
        <v>0</v>
      </c>
      <c r="M32" s="426">
        <f t="shared" si="17"/>
        <v>0</v>
      </c>
    </row>
    <row r="33" spans="1:13" s="134" customFormat="1" ht="20.100000000000001" customHeight="1">
      <c r="A33" s="494" t="s">
        <v>440</v>
      </c>
      <c r="B33" s="164" t="s">
        <v>1040</v>
      </c>
      <c r="C33" s="492" t="s">
        <v>34</v>
      </c>
      <c r="D33" s="500">
        <f t="shared" ref="D33:M33" si="18">D32*D$17</f>
        <v>0</v>
      </c>
      <c r="E33" s="431">
        <f t="shared" si="18"/>
        <v>0</v>
      </c>
      <c r="F33" s="431">
        <f t="shared" si="18"/>
        <v>0</v>
      </c>
      <c r="G33" s="431">
        <f t="shared" si="18"/>
        <v>0</v>
      </c>
      <c r="H33" s="431">
        <f t="shared" si="18"/>
        <v>0</v>
      </c>
      <c r="I33" s="431">
        <f t="shared" si="18"/>
        <v>0</v>
      </c>
      <c r="J33" s="431">
        <f t="shared" si="18"/>
        <v>0</v>
      </c>
      <c r="K33" s="431">
        <f t="shared" si="18"/>
        <v>0</v>
      </c>
      <c r="L33" s="431">
        <f t="shared" si="18"/>
        <v>0</v>
      </c>
      <c r="M33" s="431">
        <f t="shared" si="18"/>
        <v>0</v>
      </c>
    </row>
    <row r="34" spans="1:13" s="134" customFormat="1" ht="20.100000000000001" customHeight="1" thickBot="1">
      <c r="A34" s="494" t="s">
        <v>440</v>
      </c>
      <c r="B34" s="232" t="s">
        <v>1041</v>
      </c>
      <c r="C34" s="505" t="s">
        <v>35</v>
      </c>
      <c r="D34" s="506">
        <f>D32*D$18</f>
        <v>0</v>
      </c>
      <c r="E34" s="507">
        <f t="shared" ref="E34:M34" si="19">E32*E$18</f>
        <v>0</v>
      </c>
      <c r="F34" s="507">
        <f t="shared" si="19"/>
        <v>0</v>
      </c>
      <c r="G34" s="507">
        <f t="shared" si="19"/>
        <v>0</v>
      </c>
      <c r="H34" s="507">
        <f t="shared" si="19"/>
        <v>0</v>
      </c>
      <c r="I34" s="507">
        <f t="shared" si="19"/>
        <v>0</v>
      </c>
      <c r="J34" s="507">
        <f t="shared" si="19"/>
        <v>0</v>
      </c>
      <c r="K34" s="507">
        <f t="shared" si="19"/>
        <v>0</v>
      </c>
      <c r="L34" s="507">
        <f t="shared" si="19"/>
        <v>0</v>
      </c>
      <c r="M34" s="507">
        <f t="shared" si="19"/>
        <v>0</v>
      </c>
    </row>
    <row r="35" spans="1:13" s="134" customFormat="1" ht="20.100000000000001" customHeight="1">
      <c r="A35" s="494" t="s">
        <v>440</v>
      </c>
      <c r="B35" s="231" t="s">
        <v>1042</v>
      </c>
      <c r="C35" s="510" t="s">
        <v>405</v>
      </c>
      <c r="D35" s="508">
        <f t="shared" ref="D35:M35" si="20">IF(OR(D10="",D13="Silo filling"),0,0.00141*(ABS(D14)*EXP(((0.0251*(D15+460))-20.43)))*0.94)</f>
        <v>0</v>
      </c>
      <c r="E35" s="432">
        <f t="shared" si="20"/>
        <v>0</v>
      </c>
      <c r="F35" s="432">
        <f t="shared" si="20"/>
        <v>0</v>
      </c>
      <c r="G35" s="432">
        <f t="shared" si="20"/>
        <v>0</v>
      </c>
      <c r="H35" s="432">
        <f t="shared" si="20"/>
        <v>0</v>
      </c>
      <c r="I35" s="432">
        <f t="shared" si="20"/>
        <v>0</v>
      </c>
      <c r="J35" s="432">
        <f t="shared" si="20"/>
        <v>0</v>
      </c>
      <c r="K35" s="432">
        <f t="shared" si="20"/>
        <v>0</v>
      </c>
      <c r="L35" s="432">
        <f t="shared" si="20"/>
        <v>0</v>
      </c>
      <c r="M35" s="432">
        <f t="shared" si="20"/>
        <v>0</v>
      </c>
    </row>
    <row r="36" spans="1:13" s="134" customFormat="1" ht="20.100000000000001" customHeight="1">
      <c r="A36" s="494" t="s">
        <v>440</v>
      </c>
      <c r="B36" s="164" t="s">
        <v>1043</v>
      </c>
      <c r="C36" s="492" t="s">
        <v>34</v>
      </c>
      <c r="D36" s="500">
        <f t="shared" ref="D36:M36" si="21">D35*D$17</f>
        <v>0</v>
      </c>
      <c r="E36" s="431">
        <f t="shared" si="21"/>
        <v>0</v>
      </c>
      <c r="F36" s="431">
        <f t="shared" si="21"/>
        <v>0</v>
      </c>
      <c r="G36" s="431">
        <f t="shared" si="21"/>
        <v>0</v>
      </c>
      <c r="H36" s="431">
        <f t="shared" si="21"/>
        <v>0</v>
      </c>
      <c r="I36" s="431">
        <f t="shared" si="21"/>
        <v>0</v>
      </c>
      <c r="J36" s="431">
        <f t="shared" si="21"/>
        <v>0</v>
      </c>
      <c r="K36" s="431">
        <f t="shared" si="21"/>
        <v>0</v>
      </c>
      <c r="L36" s="431">
        <f t="shared" si="21"/>
        <v>0</v>
      </c>
      <c r="M36" s="431">
        <f t="shared" si="21"/>
        <v>0</v>
      </c>
    </row>
    <row r="37" spans="1:13" ht="20.100000000000001" customHeight="1" thickBot="1">
      <c r="A37" s="496" t="s">
        <v>440</v>
      </c>
      <c r="B37" s="232" t="s">
        <v>1044</v>
      </c>
      <c r="C37" s="505" t="s">
        <v>35</v>
      </c>
      <c r="D37" s="506">
        <f>D35*D$18</f>
        <v>0</v>
      </c>
      <c r="E37" s="507">
        <f t="shared" ref="E37:M37" si="22">E35*E$18</f>
        <v>0</v>
      </c>
      <c r="F37" s="507">
        <f t="shared" si="22"/>
        <v>0</v>
      </c>
      <c r="G37" s="507">
        <f t="shared" si="22"/>
        <v>0</v>
      </c>
      <c r="H37" s="507">
        <f t="shared" si="22"/>
        <v>0</v>
      </c>
      <c r="I37" s="507">
        <f t="shared" si="22"/>
        <v>0</v>
      </c>
      <c r="J37" s="507">
        <f t="shared" si="22"/>
        <v>0</v>
      </c>
      <c r="K37" s="507">
        <f t="shared" si="22"/>
        <v>0</v>
      </c>
      <c r="L37" s="507">
        <f t="shared" si="22"/>
        <v>0</v>
      </c>
      <c r="M37" s="507">
        <f t="shared" si="22"/>
        <v>0</v>
      </c>
    </row>
    <row r="38" spans="1:13" s="134" customFormat="1" ht="20.100000000000001" customHeight="1">
      <c r="A38" s="497" t="s">
        <v>876</v>
      </c>
      <c r="B38" s="164" t="s">
        <v>518</v>
      </c>
      <c r="C38" s="492" t="s">
        <v>34</v>
      </c>
      <c r="D38" s="499">
        <f t="shared" ref="D38:M38" si="23">D30+D21</f>
        <v>0</v>
      </c>
      <c r="E38" s="426">
        <f t="shared" si="23"/>
        <v>0</v>
      </c>
      <c r="F38" s="426">
        <f t="shared" si="23"/>
        <v>0</v>
      </c>
      <c r="G38" s="426">
        <f t="shared" si="23"/>
        <v>0</v>
      </c>
      <c r="H38" s="426">
        <f t="shared" si="23"/>
        <v>0</v>
      </c>
      <c r="I38" s="426">
        <f t="shared" si="23"/>
        <v>0</v>
      </c>
      <c r="J38" s="426">
        <f t="shared" si="23"/>
        <v>0</v>
      </c>
      <c r="K38" s="426">
        <f t="shared" si="23"/>
        <v>0</v>
      </c>
      <c r="L38" s="426">
        <f t="shared" si="23"/>
        <v>0</v>
      </c>
      <c r="M38" s="426">
        <f t="shared" si="23"/>
        <v>0</v>
      </c>
    </row>
    <row r="39" spans="1:13" s="134" customFormat="1" ht="20.100000000000001" customHeight="1" thickBot="1">
      <c r="A39" s="490"/>
      <c r="B39" s="501" t="s">
        <v>513</v>
      </c>
      <c r="C39" s="501" t="s">
        <v>35</v>
      </c>
      <c r="D39" s="511">
        <f t="shared" ref="D39:M39" si="24">D31+D22</f>
        <v>0</v>
      </c>
      <c r="E39" s="512">
        <f t="shared" si="24"/>
        <v>0</v>
      </c>
      <c r="F39" s="512">
        <f t="shared" si="24"/>
        <v>0</v>
      </c>
      <c r="G39" s="512">
        <f t="shared" si="24"/>
        <v>0</v>
      </c>
      <c r="H39" s="512">
        <f t="shared" si="24"/>
        <v>0</v>
      </c>
      <c r="I39" s="512">
        <f t="shared" si="24"/>
        <v>0</v>
      </c>
      <c r="J39" s="512">
        <f t="shared" si="24"/>
        <v>0</v>
      </c>
      <c r="K39" s="512">
        <f t="shared" si="24"/>
        <v>0</v>
      </c>
      <c r="L39" s="512">
        <f t="shared" si="24"/>
        <v>0</v>
      </c>
      <c r="M39" s="512">
        <f t="shared" si="24"/>
        <v>0</v>
      </c>
    </row>
    <row r="40" spans="1:13" s="134" customFormat="1" ht="20.100000000000001" customHeight="1">
      <c r="A40" s="494" t="s">
        <v>440</v>
      </c>
      <c r="B40" s="287" t="s">
        <v>514</v>
      </c>
      <c r="C40" s="498" t="s">
        <v>34</v>
      </c>
      <c r="D40" s="499">
        <f t="shared" ref="D40:M40" si="25">D33+D24</f>
        <v>0</v>
      </c>
      <c r="E40" s="426">
        <f t="shared" si="25"/>
        <v>0</v>
      </c>
      <c r="F40" s="426">
        <f t="shared" si="25"/>
        <v>0</v>
      </c>
      <c r="G40" s="426">
        <f t="shared" si="25"/>
        <v>0</v>
      </c>
      <c r="H40" s="426">
        <f t="shared" si="25"/>
        <v>0</v>
      </c>
      <c r="I40" s="426">
        <f t="shared" si="25"/>
        <v>0</v>
      </c>
      <c r="J40" s="426">
        <f t="shared" si="25"/>
        <v>0</v>
      </c>
      <c r="K40" s="426">
        <f t="shared" si="25"/>
        <v>0</v>
      </c>
      <c r="L40" s="426">
        <f t="shared" si="25"/>
        <v>0</v>
      </c>
      <c r="M40" s="426">
        <f t="shared" si="25"/>
        <v>0</v>
      </c>
    </row>
    <row r="41" spans="1:13" s="134" customFormat="1" ht="20.100000000000001" customHeight="1" thickBot="1">
      <c r="A41" s="494" t="s">
        <v>440</v>
      </c>
      <c r="B41" s="513" t="s">
        <v>515</v>
      </c>
      <c r="C41" s="505" t="s">
        <v>35</v>
      </c>
      <c r="D41" s="506">
        <f t="shared" ref="D41:M41" si="26">D34+D25</f>
        <v>0</v>
      </c>
      <c r="E41" s="507">
        <f t="shared" si="26"/>
        <v>0</v>
      </c>
      <c r="F41" s="507">
        <f t="shared" si="26"/>
        <v>0</v>
      </c>
      <c r="G41" s="507">
        <f t="shared" si="26"/>
        <v>0</v>
      </c>
      <c r="H41" s="507">
        <f t="shared" si="26"/>
        <v>0</v>
      </c>
      <c r="I41" s="507">
        <f t="shared" si="26"/>
        <v>0</v>
      </c>
      <c r="J41" s="507">
        <f t="shared" si="26"/>
        <v>0</v>
      </c>
      <c r="K41" s="507">
        <f t="shared" si="26"/>
        <v>0</v>
      </c>
      <c r="L41" s="507">
        <f t="shared" si="26"/>
        <v>0</v>
      </c>
      <c r="M41" s="507">
        <f t="shared" si="26"/>
        <v>0</v>
      </c>
    </row>
    <row r="42" spans="1:13" s="134" customFormat="1" ht="20.100000000000001" customHeight="1">
      <c r="A42" s="494" t="s">
        <v>440</v>
      </c>
      <c r="B42" s="164" t="s">
        <v>516</v>
      </c>
      <c r="C42" s="492" t="s">
        <v>34</v>
      </c>
      <c r="D42" s="500">
        <f t="shared" ref="D42:M42" si="27">D36+D27</f>
        <v>0</v>
      </c>
      <c r="E42" s="431">
        <f t="shared" si="27"/>
        <v>0</v>
      </c>
      <c r="F42" s="431">
        <f t="shared" si="27"/>
        <v>0</v>
      </c>
      <c r="G42" s="431">
        <f t="shared" si="27"/>
        <v>0</v>
      </c>
      <c r="H42" s="431">
        <f t="shared" si="27"/>
        <v>0</v>
      </c>
      <c r="I42" s="431">
        <f t="shared" si="27"/>
        <v>0</v>
      </c>
      <c r="J42" s="431">
        <f t="shared" si="27"/>
        <v>0</v>
      </c>
      <c r="K42" s="431">
        <f t="shared" si="27"/>
        <v>0</v>
      </c>
      <c r="L42" s="431">
        <f t="shared" si="27"/>
        <v>0</v>
      </c>
      <c r="M42" s="431">
        <f t="shared" si="27"/>
        <v>0</v>
      </c>
    </row>
    <row r="43" spans="1:13" s="134" customFormat="1" ht="20.100000000000001" customHeight="1" thickBot="1">
      <c r="A43" s="494" t="s">
        <v>440</v>
      </c>
      <c r="B43" s="232" t="s">
        <v>517</v>
      </c>
      <c r="C43" s="505" t="s">
        <v>35</v>
      </c>
      <c r="D43" s="506">
        <f t="shared" ref="D43:M43" si="28">D37+D28</f>
        <v>0</v>
      </c>
      <c r="E43" s="507">
        <f t="shared" si="28"/>
        <v>0</v>
      </c>
      <c r="F43" s="507">
        <f t="shared" si="28"/>
        <v>0</v>
      </c>
      <c r="G43" s="507">
        <f t="shared" si="28"/>
        <v>0</v>
      </c>
      <c r="H43" s="507">
        <f t="shared" si="28"/>
        <v>0</v>
      </c>
      <c r="I43" s="507">
        <f t="shared" si="28"/>
        <v>0</v>
      </c>
      <c r="J43" s="507">
        <f t="shared" si="28"/>
        <v>0</v>
      </c>
      <c r="K43" s="507">
        <f t="shared" si="28"/>
        <v>0</v>
      </c>
      <c r="L43" s="507">
        <f t="shared" si="28"/>
        <v>0</v>
      </c>
      <c r="M43" s="507">
        <f t="shared" si="28"/>
        <v>0</v>
      </c>
    </row>
    <row r="44" spans="1:13" ht="30" customHeight="1" thickBot="1">
      <c r="A44" s="270" t="s">
        <v>455</v>
      </c>
      <c r="B44" s="270" t="s">
        <v>934</v>
      </c>
      <c r="C44" s="502" t="s">
        <v>99</v>
      </c>
      <c r="D44" s="522"/>
      <c r="E44" s="523"/>
      <c r="F44" s="523"/>
      <c r="G44" s="523"/>
      <c r="H44" s="523"/>
      <c r="I44" s="523"/>
      <c r="J44" s="523"/>
      <c r="K44" s="523"/>
      <c r="L44" s="523"/>
      <c r="M44" s="523"/>
    </row>
    <row r="45" spans="1:13" ht="8.1" customHeight="1">
      <c r="B45" s="134"/>
      <c r="C45" s="369"/>
      <c r="D45" s="514"/>
      <c r="E45" s="514"/>
      <c r="F45" s="514"/>
      <c r="G45" s="514"/>
      <c r="H45" s="514"/>
      <c r="I45" s="514"/>
      <c r="J45" s="514"/>
      <c r="K45" s="514"/>
      <c r="L45" s="514"/>
      <c r="M45" s="514"/>
    </row>
    <row r="46" spans="1:13">
      <c r="A46" s="668" t="str">
        <f>HYPERLINK("#Emission_Summary","End of Sheet. Click here to go to the next sheet.")</f>
        <v>End of Sheet. Click here to go to the next sheet.</v>
      </c>
      <c r="B46" s="644"/>
      <c r="C46" s="644"/>
      <c r="D46" s="644"/>
      <c r="E46" s="514"/>
      <c r="F46" s="514"/>
      <c r="G46" s="514"/>
      <c r="H46" s="514"/>
      <c r="I46" s="514"/>
      <c r="J46" s="514"/>
      <c r="K46" s="514"/>
      <c r="L46" s="514"/>
      <c r="M46" s="514"/>
    </row>
    <row r="47" spans="1:13" hidden="1">
      <c r="B47" s="134"/>
      <c r="C47" s="369"/>
      <c r="D47" s="514"/>
      <c r="E47" s="514"/>
      <c r="F47" s="514"/>
      <c r="G47" s="514"/>
      <c r="H47" s="514"/>
      <c r="I47" s="514"/>
      <c r="J47" s="514"/>
      <c r="K47" s="514"/>
      <c r="L47" s="514"/>
      <c r="M47" s="514"/>
    </row>
    <row r="48" spans="1:13" hidden="1">
      <c r="B48" s="134"/>
      <c r="C48" s="369"/>
      <c r="D48" s="514"/>
      <c r="E48" s="514"/>
      <c r="F48" s="514"/>
      <c r="G48" s="514"/>
      <c r="H48" s="514"/>
      <c r="I48" s="514"/>
      <c r="J48" s="514"/>
      <c r="K48" s="514"/>
      <c r="L48" s="514"/>
      <c r="M48" s="514"/>
    </row>
    <row r="49" spans="1:13" hidden="1">
      <c r="A49" s="131" t="s">
        <v>925</v>
      </c>
      <c r="B49" s="131" t="s">
        <v>859</v>
      </c>
      <c r="C49" s="131">
        <f>Stockpile!M30</f>
        <v>0</v>
      </c>
      <c r="D49" s="131">
        <f t="shared" ref="D49:M49" si="29">IF(ISBLANK(D10),C49,C49+1)</f>
        <v>0</v>
      </c>
      <c r="E49" s="131">
        <f t="shared" si="29"/>
        <v>0</v>
      </c>
      <c r="F49" s="131">
        <f t="shared" si="29"/>
        <v>0</v>
      </c>
      <c r="G49" s="131">
        <f t="shared" si="29"/>
        <v>0</v>
      </c>
      <c r="H49" s="131">
        <f t="shared" si="29"/>
        <v>0</v>
      </c>
      <c r="I49" s="131">
        <f t="shared" si="29"/>
        <v>0</v>
      </c>
      <c r="J49" s="131">
        <f t="shared" si="29"/>
        <v>0</v>
      </c>
      <c r="K49" s="131">
        <f t="shared" si="29"/>
        <v>0</v>
      </c>
      <c r="L49" s="131">
        <f t="shared" si="29"/>
        <v>0</v>
      </c>
      <c r="M49" s="131">
        <f t="shared" si="29"/>
        <v>0</v>
      </c>
    </row>
    <row r="50" spans="1:13" hidden="1">
      <c r="B50" s="134"/>
      <c r="C50" s="369"/>
      <c r="D50" s="514"/>
      <c r="E50" s="514"/>
      <c r="F50" s="514"/>
      <c r="G50" s="514"/>
      <c r="H50" s="514"/>
      <c r="I50" s="514"/>
      <c r="J50" s="514"/>
      <c r="K50" s="514"/>
      <c r="L50" s="514"/>
      <c r="M50" s="514"/>
    </row>
    <row r="51" spans="1:13" hidden="1">
      <c r="B51" s="134"/>
      <c r="C51" s="369"/>
      <c r="D51" s="514"/>
      <c r="E51" s="514"/>
      <c r="F51" s="514"/>
      <c r="G51" s="514"/>
      <c r="H51" s="514"/>
      <c r="I51" s="514"/>
      <c r="J51" s="514"/>
      <c r="K51" s="514"/>
      <c r="L51" s="514"/>
      <c r="M51" s="514"/>
    </row>
    <row r="52" spans="1:13" hidden="1">
      <c r="B52" s="134"/>
      <c r="C52" s="369"/>
      <c r="D52" s="514"/>
      <c r="E52" s="514"/>
      <c r="F52" s="514"/>
      <c r="G52" s="514"/>
      <c r="H52" s="514"/>
      <c r="I52" s="514"/>
      <c r="J52" s="514"/>
      <c r="K52" s="514"/>
      <c r="L52" s="514"/>
      <c r="M52" s="514"/>
    </row>
  </sheetData>
  <sheetProtection algorithmName="SHA-512" hashValue="7g+/ymAxla0K3q3GUoCagIxAKlpcyaF5/P6G+eZqNK32sYNA4jbeSd+dL73rU8VRX4Y8RY4DyIlU7ZgQgB458g==" saltValue="eqGPKxRninLLKwAcAT795w==" spinCount="100000" sheet="1" objects="1" scenarios="1" formatColumns="0" formatRows="0" autoFilter="0"/>
  <mergeCells count="6">
    <mergeCell ref="A46:D46"/>
    <mergeCell ref="A1:M1"/>
    <mergeCell ref="A2:M2"/>
    <mergeCell ref="A4:M4"/>
    <mergeCell ref="A6:M6"/>
    <mergeCell ref="A3:M3"/>
  </mergeCells>
  <phoneticPr fontId="50" type="noConversion"/>
  <conditionalFormatting sqref="D17:M19">
    <cfRule type="expression" dxfId="11" priority="1">
      <formula>AND(D$19&lt;&gt;"",D$18&gt;D$17*D$19)</formula>
    </cfRule>
  </conditionalFormatting>
  <conditionalFormatting sqref="D20:M28">
    <cfRule type="expression" dxfId="10" priority="2">
      <formula>D$13="Truck Loadout"</formula>
    </cfRule>
  </conditionalFormatting>
  <conditionalFormatting sqref="D29:M37">
    <cfRule type="expression" dxfId="9" priority="3">
      <formula>D$13="Silo filling"</formula>
    </cfRule>
  </conditionalFormatting>
  <dataValidations count="10">
    <dataValidation allowBlank="1" showErrorMessage="1" promptTitle="General" prompt="Enter the annual truck loadout rate in tons per year for the source in this column. (tpy)" sqref="D18:M19" xr:uid="{EDA188FD-E12C-4ADC-8F47-5E502CC8AD6C}"/>
    <dataValidation allowBlank="1" showErrorMessage="1" promptTitle="General" prompt="Enter the hourly truck loadout rate in pounds per hour for the source in this column. (tons/hr)" sqref="D17:M17" xr:uid="{68ABE5AF-DF66-4B4B-8B8F-67C9C26E2637}"/>
    <dataValidation allowBlank="1" showErrorMessage="1" promptTitle="General" prompt="Enter the silo filling temperature (F) for the source in this column." sqref="D16:M16" xr:uid="{9ACD2D11-0B3B-464A-B02B-31B0134DF2B0}"/>
    <dataValidation allowBlank="1" showErrorMessage="1" promptTitle="General" prompt="Enter the loadout temperature (F) for the source in this column." sqref="D15:M15" xr:uid="{E058F79D-14AF-4DAB-8A69-9CADE5DD0C9E}"/>
    <dataValidation allowBlank="1" showErrorMessage="1" promptTitle="General" prompt="Input asphalt volatility factor. If no data is available, use 0.5." sqref="D14:M14" xr:uid="{A2FA2C4A-55EF-47DE-8B4B-12EF6FA9FAB5}"/>
    <dataValidation allowBlank="1" showErrorMessage="1" promptTitle="Note" prompt="Notes of source in this column." sqref="D44:M44" xr:uid="{EF80A2E2-F72D-422C-A213-D0A73E8A372B}"/>
    <dataValidation allowBlank="1" showInputMessage="1" showErrorMessage="1" promptTitle="Helper Row: Code" prompt="This code is the epn counter- it keeps track of populated progresively through the calc sheets for the [Emission Summary]tab" sqref="A49" xr:uid="{2C961B84-5E19-4C91-88E0-ADEA31A02511}"/>
    <dataValidation type="textLength" errorStyle="warning" operator="lessThanOrEqual" allowBlank="1" showErrorMessage="1" errorTitle="EPN Too Long" error="The Emission Point Number (EPN) must be 10 characters or fewer in length." promptTitle="General" prompt="Emission Point Number (EPN)" sqref="D10:M10" xr:uid="{27F53C71-60F8-4701-9216-D009DED54441}">
      <formula1>10</formula1>
    </dataValidation>
    <dataValidation type="textLength" errorStyle="warning" operator="lessThanOrEqual" allowBlank="1" showErrorMessage="1" errorTitle="FIN Too Long" error="The Facility Information Number (FIN) must be 10 characters or fewer in length." promptTitle="General" prompt="Facility Information Number (FIN)" sqref="D11:M11" xr:uid="{158B9179-384C-4738-BB9B-354623EE7821}">
      <formula1>10</formula1>
    </dataValidation>
    <dataValidation type="list" allowBlank="1" showInputMessage="1" showErrorMessage="1" sqref="D13:M13" xr:uid="{03B951B1-860D-489E-9505-F320D31F76A4}">
      <formula1>"Silo filling, Truck loadout, Both"</formula1>
    </dataValidation>
  </dataValidations>
  <hyperlinks>
    <hyperlink ref="A4" r:id="rId1" xr:uid="{2DDAECA0-2DC3-4D77-9EFC-DC6C96238916}"/>
  </hyperlinks>
  <pageMargins left="0.7" right="0.7" top="0.75" bottom="0.75" header="0.3" footer="0.3"/>
  <pageSetup orientation="portrait" r:id="rId2"/>
  <tableParts count="1">
    <tablePart r:id="rId3"/>
  </tableParts>
  <extLst>
    <ext xmlns:x14="http://schemas.microsoft.com/office/spreadsheetml/2009/9/main" uri="{78C0D931-6437-407d-A8EE-F0AAD7539E65}">
      <x14:conditionalFormattings>
        <x14:conditionalFormatting xmlns:xm="http://schemas.microsoft.com/office/excel/2006/main">
          <x14:cfRule type="expression" priority="4" id="{78226F9D-F201-4451-9E99-9E9F196580D4}">
            <xm:f>ISBLANK('General Information'!$B$17)</xm:f>
            <x14:dxf>
              <font>
                <color theme="0" tint="-0.499984740745262"/>
              </font>
              <fill>
                <patternFill>
                  <bgColor theme="0" tint="-0.499984740745262"/>
                </patternFill>
              </fill>
            </x14:dxf>
          </x14:cfRule>
          <xm:sqref>A8:M44</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24</vt:i4>
      </vt:variant>
    </vt:vector>
  </HeadingPairs>
  <TitlesOfParts>
    <vt:vector size="36" baseType="lpstr">
      <vt:lpstr>Cover</vt:lpstr>
      <vt:lpstr>General Information</vt:lpstr>
      <vt:lpstr>Checklist</vt:lpstr>
      <vt:lpstr>Material Handling</vt:lpstr>
      <vt:lpstr>Drop Point</vt:lpstr>
      <vt:lpstr>Control - Grain dscf</vt:lpstr>
      <vt:lpstr>Control - Alt</vt:lpstr>
      <vt:lpstr>Stockpile</vt:lpstr>
      <vt:lpstr>Asphalt Silo &amp; Unloading</vt:lpstr>
      <vt:lpstr>Emission Summary</vt:lpstr>
      <vt:lpstr>Emission Summary - Alt</vt:lpstr>
      <vt:lpstr>Workbook Guidance</vt:lpstr>
      <vt:lpstr>Abbrev</vt:lpstr>
      <vt:lpstr>Alt_Emission_Summary</vt:lpstr>
      <vt:lpstr>Checklist</vt:lpstr>
      <vt:lpstr>City_DDL</vt:lpstr>
      <vt:lpstr>Cover</vt:lpstr>
      <vt:lpstr>Emission_Summary</vt:lpstr>
      <vt:lpstr>Emission_Summary_Table</vt:lpstr>
      <vt:lpstr>EmisSum</vt:lpstr>
      <vt:lpstr>General</vt:lpstr>
      <vt:lpstr>GI_Rule_Select</vt:lpstr>
      <vt:lpstr>i.Material_Handing</vt:lpstr>
      <vt:lpstr>ii.drop</vt:lpstr>
      <vt:lpstr>iii.control_dscf</vt:lpstr>
      <vt:lpstr>iv.control_alt</vt:lpstr>
      <vt:lpstr>Material_Handing</vt:lpstr>
      <vt:lpstr>Material_Handling_T</vt:lpstr>
      <vt:lpstr>Checklist!Print_Area</vt:lpstr>
      <vt:lpstr>'Material Handling'!Print_Area</vt:lpstr>
      <vt:lpstr>T_dV_Gr_per_dscf</vt:lpstr>
      <vt:lpstr>T_dV_or_dM_Conv</vt:lpstr>
      <vt:lpstr>units</vt:lpstr>
      <vt:lpstr>v.Stockpile</vt:lpstr>
      <vt:lpstr>vi.Silo</vt:lpstr>
      <vt:lpstr>WKB_GUIDE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TCEQ Form 20974 - Aggregate Processing Operations Workbook</dc:title>
  <dc:subject/>
  <dc:creator>TCEQ</dc:creator>
  <cp:keywords/>
  <dc:description/>
  <cp:lastModifiedBy>Traci Spencer</cp:lastModifiedBy>
  <cp:revision/>
  <cp:lastPrinted>2022-06-24T15:02:51Z</cp:lastPrinted>
  <dcterms:created xsi:type="dcterms:W3CDTF">2022-02-07T20:36:47Z</dcterms:created>
  <dcterms:modified xsi:type="dcterms:W3CDTF">2024-04-15T17:16:54Z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 Name">
    <vt:lpwstr>APOW</vt:lpwstr>
  </property>
  <property fmtid="{D5CDD505-2E9C-101B-9397-08002B2CF9AE}" pid="3" name="Version Date">
    <vt:filetime>2024-03-29T10:00:00Z</vt:filetime>
  </property>
  <property fmtid="{D5CDD505-2E9C-101B-9397-08002B2CF9AE}" pid="4" name="Version Number">
    <vt:lpwstr>1.0</vt:lpwstr>
  </property>
</Properties>
</file>