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J:\everyone\APD Projects\1812\working\"/>
    </mc:Choice>
  </mc:AlternateContent>
  <xr:revisionPtr revIDLastSave="0" documentId="8_{77AE3D14-EA4B-4F74-82D0-1F02C3CF20DF}" xr6:coauthVersionLast="36" xr6:coauthVersionMax="36" xr10:uidLastSave="{00000000-0000-0000-0000-000000000000}"/>
  <workbookProtection lockStructure="1"/>
  <bookViews>
    <workbookView xWindow="0" yWindow="0" windowWidth="25200" windowHeight="11775" xr2:uid="{4C249EF7-C400-4A00-A3E0-CD76A066B7B5}"/>
  </bookViews>
  <sheets>
    <sheet name="Instructions and References" sheetId="1" r:id="rId1"/>
    <sheet name="Production and Schedule" sheetId="2" r:id="rId2"/>
    <sheet name="Dryer and Cold Mix" sheetId="3" r:id="rId3"/>
    <sheet name="Lime Silo(s)" sheetId="4" r:id="rId4"/>
    <sheet name="Material Handling" sheetId="6" r:id="rId5"/>
    <sheet name="Stockpiles" sheetId="11" r:id="rId6"/>
    <sheet name="Loadout and Heater" sheetId="8" r:id="rId7"/>
    <sheet name="Summary Table" sheetId="9" r:id="rId8"/>
    <sheet name="Drop Down lists" sheetId="10" state="hidden" r:id="rId9"/>
  </sheets>
  <externalReferences>
    <externalReference r:id="rId10"/>
    <externalReference r:id="rId11"/>
  </externalReferences>
  <definedNames>
    <definedName name="GDFGD">[1]Lists!$E$24:$E$25</definedName>
    <definedName name="List10">[2]Lists!$E$24:$E$25</definedName>
    <definedName name="List11">[2]Lists!$D$3:$D$6</definedName>
    <definedName name="List13">[2]Lists!$L$3:$L$23</definedName>
    <definedName name="List14">[2]Lists!$D$2:$D$5</definedName>
    <definedName name="List2">[2]Lists!$E$3:$E$4</definedName>
    <definedName name="List3">[2]Lists!$D$8:$D$9</definedName>
    <definedName name="List4">[2]Lists!$D$15:$D$16</definedName>
    <definedName name="List5">[2]Lists!$E$14:$E$16</definedName>
    <definedName name="List8">[2]Lists!$H$17:$H$20</definedName>
    <definedName name="_xlnm.Print_Area" localSheetId="2">'Dryer and Cold Mix'!$A$2:$I$1048576</definedName>
    <definedName name="_xlnm.Print_Area" localSheetId="0">'Instructions and References'!$A$1:$I$30</definedName>
    <definedName name="_xlnm.Print_Area" localSheetId="3">'Lime Silo(s)'!$A$1:$E$44</definedName>
    <definedName name="_xlnm.Print_Area" localSheetId="6">'Loadout and Heater'!$A:$H</definedName>
    <definedName name="_xlnm.Print_Area" localSheetId="4">'Material Handling'!$A$1:$K$37</definedName>
    <definedName name="_xlnm.Print_Area" localSheetId="5">Stockpiles!$A$1:$E$22</definedName>
    <definedName name="_xlnm.Print_Area" localSheetId="7">'Summary Table'!$A$1:$E$43</definedName>
    <definedName name="Table3.A12.I14.3" localSheetId="2">'Dryer and Cold Mix'!$A$12:$I$14</definedName>
    <definedName name="Table3.A19.G29.3" localSheetId="2">'Dryer and Cold Mix'!$A$19:$I$29</definedName>
    <definedName name="Table3.A8.I9.3" localSheetId="2">'Dryer and Cold Mix'!$A$8:$I$9</definedName>
    <definedName name="TitleRegion1.A3.E12.8" localSheetId="7">'Summary Table'!$A$3:$E$12</definedName>
    <definedName name="TitleRegion1.A3.E15.6" localSheetId="5">Stockpiles!$A$3:$E$15</definedName>
    <definedName name="TitleRegion1.A4.B15.4" localSheetId="3">'Lime Silo(s)'!$A$4:$B$15</definedName>
    <definedName name="TitleRegion1.A4.C5.3" localSheetId="2">'Dryer and Cold Mix'!$A$4:$C$5</definedName>
    <definedName name="TitleRegion1.A4.D8.7" localSheetId="6">'Loadout and Heater'!$A$4:$D$8</definedName>
    <definedName name="TitleRegion1.A4.K14.5" localSheetId="4">'Material Handling'!$A$4:$K$14</definedName>
    <definedName name="TitleRegion1.a6.d7.2" localSheetId="1">'Production and Schedule'!$A$6:$D$7</definedName>
    <definedName name="TitleRegion2.A10.C17.2" localSheetId="1">'Production and Schedule'!$A$10:$C$17</definedName>
    <definedName name="TitleRegion2.A11.H16.7" localSheetId="6">'Loadout and Heater'!$A$11:$H$16</definedName>
    <definedName name="TitleRegion2.A14.E17.8" localSheetId="7">'Summary Table'!$A$14:$E$17</definedName>
    <definedName name="TitleRegion2.A16.B22.5" localSheetId="4">'Material Handling'!$A$16:$B$22</definedName>
    <definedName name="TitleRegion2.A18.B20.6" localSheetId="5">Stockpiles!$A$18:$B$20</definedName>
    <definedName name="TitleRegion2.A18.B22.4" localSheetId="3">'Lime Silo(s)'!$A$32:$B$36</definedName>
    <definedName name="TitleRegion2.A8.I14.3" localSheetId="2">'Dryer and Cold Mix'!$A$8:$I$9</definedName>
    <definedName name="TitleRegion3.A12.I14.3" localSheetId="2">'Dryer and Cold Mix'!$A$19:$I$29</definedName>
    <definedName name="TitleRegion3.A19.E22.8" localSheetId="7">'Summary Table'!$A$19:$E$22</definedName>
    <definedName name="TitleRegion3.A20.E24.7" localSheetId="6">'Loadout and Heater'!$A$20:$E$24</definedName>
    <definedName name="TitleRegion3.A25.G36.5" localSheetId="4">'Material Handling'!$A$25:$G$36</definedName>
    <definedName name="TitleRegion4.A19.G29.3" localSheetId="2">'Dryer and Cold Mix'!$A$19:$I$29</definedName>
    <definedName name="TitleRegion4.A24.E28.8" localSheetId="7">'Summary Table'!$A$24:$E$28</definedName>
    <definedName name="TitleRegion4.A29.F36.7" localSheetId="6">'Loadout and Heater'!$A$29:$F$36</definedName>
    <definedName name="TitleRegion5.A30.E33.8" localSheetId="7">'Summary Table'!$A$30:$E$33</definedName>
    <definedName name="TitleRegion6.A35.E42.8" localSheetId="7">'Summary Table'!$A$35:$E$42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2" i="4" l="1"/>
  <c r="E43" i="4" s="1"/>
  <c r="E29" i="4"/>
  <c r="E28" i="4"/>
  <c r="E27" i="4"/>
  <c r="E26" i="4"/>
  <c r="E25" i="4"/>
  <c r="E24" i="4"/>
  <c r="E15" i="4"/>
  <c r="E14" i="4"/>
  <c r="E13" i="4"/>
  <c r="E12" i="4"/>
  <c r="E11" i="4"/>
  <c r="E10" i="4"/>
  <c r="B29" i="4"/>
  <c r="B28" i="4"/>
  <c r="B27" i="4"/>
  <c r="B26" i="4"/>
  <c r="B25" i="4"/>
  <c r="B24" i="4"/>
  <c r="E35" i="4"/>
  <c r="E36" i="4" s="1"/>
  <c r="B42" i="4"/>
  <c r="B43" i="4" s="1"/>
  <c r="K14" i="6" l="1"/>
  <c r="G35" i="6" s="1"/>
  <c r="J14" i="6"/>
  <c r="E35" i="6" s="1"/>
  <c r="I14" i="6"/>
  <c r="C35" i="6" s="1"/>
  <c r="K13" i="6"/>
  <c r="G34" i="6" s="1"/>
  <c r="J13" i="6"/>
  <c r="E34" i="6" s="1"/>
  <c r="I13" i="6"/>
  <c r="C34" i="6" s="1"/>
  <c r="K12" i="6"/>
  <c r="G33" i="6" s="1"/>
  <c r="J12" i="6"/>
  <c r="E33" i="6" s="1"/>
  <c r="I12" i="6"/>
  <c r="C33" i="6" s="1"/>
  <c r="K11" i="6"/>
  <c r="G32" i="6" s="1"/>
  <c r="J11" i="6"/>
  <c r="E32" i="6" s="1"/>
  <c r="I11" i="6"/>
  <c r="C32" i="6" s="1"/>
  <c r="K10" i="6"/>
  <c r="G31" i="6" s="1"/>
  <c r="J10" i="6"/>
  <c r="E31" i="6" s="1"/>
  <c r="I10" i="6"/>
  <c r="C31" i="6" s="1"/>
  <c r="K9" i="6"/>
  <c r="G30" i="6" s="1"/>
  <c r="J9" i="6"/>
  <c r="E30" i="6" s="1"/>
  <c r="I9" i="6"/>
  <c r="C30" i="6" s="1"/>
  <c r="K8" i="6"/>
  <c r="G29" i="6" s="1"/>
  <c r="J8" i="6"/>
  <c r="E29" i="6" s="1"/>
  <c r="I8" i="6"/>
  <c r="C29" i="6" s="1"/>
  <c r="K7" i="6"/>
  <c r="G28" i="6" s="1"/>
  <c r="J7" i="6"/>
  <c r="E28" i="6" s="1"/>
  <c r="I7" i="6"/>
  <c r="C28" i="6" s="1"/>
  <c r="K6" i="6"/>
  <c r="G27" i="6" s="1"/>
  <c r="J6" i="6"/>
  <c r="E27" i="6" s="1"/>
  <c r="I6" i="6"/>
  <c r="C27" i="6" s="1"/>
  <c r="K5" i="6"/>
  <c r="G26" i="6" s="1"/>
  <c r="J5" i="6"/>
  <c r="E26" i="6" s="1"/>
  <c r="I5" i="6"/>
  <c r="C26" i="6" s="1"/>
  <c r="D28" i="6" l="1"/>
  <c r="B31" i="6"/>
  <c r="F33" i="6"/>
  <c r="B29" i="6"/>
  <c r="F31" i="6"/>
  <c r="D34" i="6"/>
  <c r="F29" i="6"/>
  <c r="D32" i="6"/>
  <c r="B35" i="6"/>
  <c r="D30" i="6"/>
  <c r="B33" i="6"/>
  <c r="F35" i="6"/>
  <c r="F27" i="6"/>
  <c r="C36" i="6"/>
  <c r="E20" i="9" s="1"/>
  <c r="B27" i="6"/>
  <c r="D26" i="6"/>
  <c r="E36" i="6"/>
  <c r="E21" i="9" s="1"/>
  <c r="G36" i="6"/>
  <c r="B26" i="6"/>
  <c r="F26" i="6"/>
  <c r="D27" i="6"/>
  <c r="B28" i="6"/>
  <c r="F28" i="6"/>
  <c r="D29" i="6"/>
  <c r="B30" i="6"/>
  <c r="F30" i="6"/>
  <c r="D31" i="6"/>
  <c r="B32" i="6"/>
  <c r="F32" i="6"/>
  <c r="D33" i="6"/>
  <c r="B34" i="6"/>
  <c r="F34" i="6"/>
  <c r="D35" i="6"/>
  <c r="D22" i="9" l="1"/>
  <c r="E22" i="9"/>
  <c r="D36" i="6"/>
  <c r="D21" i="9" s="1"/>
  <c r="B36" i="6"/>
  <c r="D20" i="9" s="1"/>
  <c r="F36" i="6"/>
  <c r="D36" i="8" l="1"/>
  <c r="F36" i="8" s="1"/>
  <c r="E38" i="9" s="1"/>
  <c r="D35" i="8"/>
  <c r="E35" i="8" s="1"/>
  <c r="D37" i="9" s="1"/>
  <c r="D34" i="8"/>
  <c r="F34" i="8" s="1"/>
  <c r="E36" i="9" s="1"/>
  <c r="D33" i="8"/>
  <c r="F33" i="8" s="1"/>
  <c r="E41" i="9" s="1"/>
  <c r="D32" i="8"/>
  <c r="D31" i="8"/>
  <c r="F31" i="8" s="1"/>
  <c r="E40" i="9" s="1"/>
  <c r="D30" i="8"/>
  <c r="A25" i="8"/>
  <c r="A21" i="8"/>
  <c r="A22" i="8"/>
  <c r="F35" i="8" l="1"/>
  <c r="E37" i="9" s="1"/>
  <c r="E34" i="8"/>
  <c r="D36" i="9" s="1"/>
  <c r="E31" i="8"/>
  <c r="D40" i="9" s="1"/>
  <c r="E36" i="8"/>
  <c r="D38" i="9" s="1"/>
  <c r="E33" i="8"/>
  <c r="D41" i="9" s="1"/>
  <c r="F32" i="8" l="1"/>
  <c r="E39" i="9" s="1"/>
  <c r="F30" i="8"/>
  <c r="E42" i="9" s="1"/>
  <c r="F12" i="8"/>
  <c r="H12" i="8" l="1"/>
  <c r="G12" i="8"/>
  <c r="E30" i="8"/>
  <c r="D42" i="9" s="1"/>
  <c r="E32" i="8"/>
  <c r="D39" i="9" s="1"/>
  <c r="A24" i="8"/>
  <c r="A23" i="8"/>
  <c r="D29" i="8"/>
  <c r="F15" i="8"/>
  <c r="B15" i="8"/>
  <c r="F14" i="8"/>
  <c r="B14" i="8"/>
  <c r="F13" i="8"/>
  <c r="B13" i="8"/>
  <c r="B12" i="8"/>
  <c r="F16" i="8" l="1"/>
  <c r="G14" i="8"/>
  <c r="H14" i="8"/>
  <c r="C13" i="8"/>
  <c r="D13" i="8"/>
  <c r="D15" i="8"/>
  <c r="C15" i="8"/>
  <c r="D32" i="9" s="1"/>
  <c r="G13" i="8"/>
  <c r="H13" i="8"/>
  <c r="G15" i="8"/>
  <c r="H15" i="8"/>
  <c r="C14" i="8"/>
  <c r="D14" i="8"/>
  <c r="D12" i="8"/>
  <c r="E31" i="9" s="1"/>
  <c r="C12" i="8"/>
  <c r="D31" i="9" s="1"/>
  <c r="B16" i="8"/>
  <c r="E10" i="11"/>
  <c r="E11" i="11" s="1"/>
  <c r="E12" i="11" s="1"/>
  <c r="D10" i="11"/>
  <c r="D11" i="11" s="1"/>
  <c r="D12" i="11" s="1"/>
  <c r="C10" i="11"/>
  <c r="C11" i="11" s="1"/>
  <c r="C12" i="11" s="1"/>
  <c r="B10" i="11"/>
  <c r="B11" i="11" s="1"/>
  <c r="B12" i="11" s="1"/>
  <c r="E7" i="11"/>
  <c r="E13" i="11" s="1"/>
  <c r="D7" i="11"/>
  <c r="C7" i="11"/>
  <c r="B7" i="11"/>
  <c r="B13" i="11" s="1"/>
  <c r="F29" i="3"/>
  <c r="E29" i="3"/>
  <c r="D29" i="3"/>
  <c r="C29" i="3"/>
  <c r="E28" i="9" s="1"/>
  <c r="F28" i="3"/>
  <c r="E28" i="3"/>
  <c r="D28" i="3"/>
  <c r="C28" i="3"/>
  <c r="D28" i="9" s="1"/>
  <c r="F27" i="3"/>
  <c r="E27" i="3"/>
  <c r="D27" i="3"/>
  <c r="C27" i="3"/>
  <c r="B27" i="3"/>
  <c r="F26" i="3"/>
  <c r="E26" i="3"/>
  <c r="D26" i="3"/>
  <c r="C26" i="3"/>
  <c r="B26" i="3"/>
  <c r="B35" i="4"/>
  <c r="E32" i="9" l="1"/>
  <c r="B36" i="4"/>
  <c r="D8" i="9"/>
  <c r="E8" i="9"/>
  <c r="E25" i="9"/>
  <c r="G26" i="3"/>
  <c r="H16" i="8"/>
  <c r="G16" i="8"/>
  <c r="D16" i="8"/>
  <c r="C16" i="8"/>
  <c r="C13" i="11"/>
  <c r="D13" i="11"/>
  <c r="C8" i="11"/>
  <c r="D8" i="11"/>
  <c r="E8" i="11"/>
  <c r="B8" i="11"/>
  <c r="G28" i="3"/>
  <c r="G27" i="3"/>
  <c r="G29" i="3"/>
  <c r="B15" i="4"/>
  <c r="B14" i="4"/>
  <c r="D17" i="9" s="1"/>
  <c r="B13" i="4"/>
  <c r="B12" i="4"/>
  <c r="D16" i="9" s="1"/>
  <c r="B11" i="4"/>
  <c r="B10" i="4"/>
  <c r="D15" i="9" s="1"/>
  <c r="D33" i="9" l="1"/>
  <c r="E33" i="9"/>
  <c r="E16" i="9"/>
  <c r="E15" i="9"/>
  <c r="E17" i="9"/>
  <c r="E14" i="11"/>
  <c r="E15" i="11" s="1"/>
  <c r="E9" i="11"/>
  <c r="D14" i="11"/>
  <c r="D15" i="11" s="1"/>
  <c r="D9" i="11"/>
  <c r="C14" i="11"/>
  <c r="C15" i="11" s="1"/>
  <c r="C9" i="11"/>
  <c r="B14" i="11"/>
  <c r="B9" i="11"/>
  <c r="I14" i="3"/>
  <c r="E9" i="9" s="1"/>
  <c r="I13" i="3"/>
  <c r="D9" i="9" s="1"/>
  <c r="B15" i="11" l="1"/>
  <c r="E27" i="9" s="1"/>
  <c r="E26" i="9"/>
  <c r="B9" i="3"/>
  <c r="H9" i="3"/>
  <c r="G9" i="3"/>
  <c r="F9" i="3"/>
  <c r="F13" i="3" l="1"/>
  <c r="D4" i="9" s="1"/>
  <c r="F14" i="3"/>
  <c r="E4" i="9" s="1"/>
  <c r="H14" i="3"/>
  <c r="E6" i="9" s="1"/>
  <c r="H13" i="3"/>
  <c r="D6" i="9" s="1"/>
  <c r="G13" i="3"/>
  <c r="D5" i="9" s="1"/>
  <c r="G14" i="3"/>
  <c r="E5" i="9" s="1"/>
  <c r="B14" i="3"/>
  <c r="E7" i="9" s="1"/>
  <c r="B13" i="3"/>
  <c r="D7" i="9" s="1"/>
  <c r="E9" i="3"/>
  <c r="D9" i="3"/>
  <c r="C9" i="3"/>
  <c r="C13" i="3" l="1"/>
  <c r="D10" i="9" s="1"/>
  <c r="C14" i="3"/>
  <c r="E10" i="9" s="1"/>
  <c r="D14" i="3"/>
  <c r="E11" i="9" s="1"/>
  <c r="D13" i="3"/>
  <c r="D11" i="9" s="1"/>
  <c r="E13" i="3"/>
  <c r="D12" i="9" s="1"/>
  <c r="E14" i="3"/>
  <c r="E12" i="9" s="1"/>
</calcChain>
</file>

<file path=xl/sharedStrings.xml><?xml version="1.0" encoding="utf-8"?>
<sst xmlns="http://schemas.openxmlformats.org/spreadsheetml/2006/main" count="538" uniqueCount="232">
  <si>
    <t>References:</t>
  </si>
  <si>
    <t xml:space="preserve">Hotmix Asphalt Plant Emissions </t>
  </si>
  <si>
    <t>The particulate emission factors for the dryer, when using natural gas or LPG, and a fabric filter, are based on the highest value of organic and in-organic particulate matter recorded while operating under these parameters.  Refer to Table 4-14 in the Chapter 11.1 Background Document.</t>
  </si>
  <si>
    <t>Hot Oil Heater Emissions</t>
  </si>
  <si>
    <t>Lime Silo Emission Factors</t>
  </si>
  <si>
    <t>US EPA AP-42, Fifth Edition, Volume I, Chapter 11.12 Concrete Batching Table 11.12-2</t>
  </si>
  <si>
    <t xml:space="preserve">Raw Material Handling and Processing Emissions </t>
  </si>
  <si>
    <t>US EPA AP-42, Fifth Edition, Volume I, Chapter 11.19.2 Crushed Stone Processing and Pulverized Mineral Processing</t>
  </si>
  <si>
    <t xml:space="preserve">Raw Material Stockpile Emissions </t>
  </si>
  <si>
    <t>Emission Factors for the stockpiles have the following units: lb of pollutant per acre per day</t>
  </si>
  <si>
    <t>PM10 and PM2.5 is estimated based on the aerodynamic particle size multiplier factors listed in EPA AP-42 Chapter 13.2.4 Aggregate Handling and Storage Piles.</t>
  </si>
  <si>
    <t>US EPA AP-42 Chapter 13.2.4 Aggregate Handling and Storage Piles</t>
  </si>
  <si>
    <t xml:space="preserve">EPA AP-42, Fifth Edition, Volume I, Chapter 11.1 Hot Mix Asphalt Plants </t>
  </si>
  <si>
    <t>EPA AP-42, Fifth Edition, Volume I, Chapter 11.1 Hot Mix Asphalt Plants, Background Document</t>
  </si>
  <si>
    <t>EPA AP-42, Fifth Edition, Volume I, Chapter 1.3 Fuel Oil Combustion</t>
  </si>
  <si>
    <t>EPA AP-42, Fifth Edition, Volume I, Chapter 1.4 Natural Gas Combustion</t>
  </si>
  <si>
    <t>EPA AP-42, Fifth Edition, Volume I, Chapter 1.5 Liquefied Petroleum Gas Combustion</t>
  </si>
  <si>
    <t>EPA AP-42, Fifth Edition, Volume I, Chapter 1.11 Waste Oil Combustion</t>
  </si>
  <si>
    <r>
      <t xml:space="preserve">The PM active and inactive emission factors are from "Cowherd, Jr., C. </t>
    </r>
    <r>
      <rPr>
        <i/>
        <sz val="11"/>
        <color theme="1"/>
        <rFont val="Arial"/>
        <family val="2"/>
      </rPr>
      <t>Development of Emission Factors For Fugitive Dust Sources</t>
    </r>
    <r>
      <rPr>
        <sz val="11"/>
        <rFont val="Arial"/>
        <family val="2"/>
      </rPr>
      <t>. EPA document  Number. EPA-450/3-74-037. Research Triangle Park: U. S. Environmental Protection, 1974"</t>
    </r>
  </si>
  <si>
    <t>Hot Mix Asphalt Plant Input Data</t>
  </si>
  <si>
    <t>Operating Schedule</t>
  </si>
  <si>
    <t>hours/day</t>
  </si>
  <si>
    <t>days/week</t>
  </si>
  <si>
    <t>weeks/year</t>
  </si>
  <si>
    <t>hours/year</t>
  </si>
  <si>
    <t>On this worksheet the operational data for the hot mix asphalt plant should be entered.  This includes the operating schedule and the maximum production rates. Input data into the tan cells.</t>
  </si>
  <si>
    <t>Production Rates</t>
  </si>
  <si>
    <t>Mix Type</t>
  </si>
  <si>
    <t>Hourly (tons/hour)</t>
  </si>
  <si>
    <t>Annual (tons/year)</t>
  </si>
  <si>
    <t>Standard</t>
  </si>
  <si>
    <t>Rubber Modified</t>
  </si>
  <si>
    <t>Cold - Rapid Cure</t>
  </si>
  <si>
    <t>Cold - Medium Cure</t>
  </si>
  <si>
    <t>Cold - Slow/Specialty Cure</t>
  </si>
  <si>
    <t>Cold - Emulsion</t>
  </si>
  <si>
    <t>Other Mixes (describe)</t>
  </si>
  <si>
    <t>Drum Mix Plant</t>
  </si>
  <si>
    <t>Dryer Emissions</t>
  </si>
  <si>
    <t>Select Type of Plant</t>
  </si>
  <si>
    <t>Select Fuel(s)*</t>
  </si>
  <si>
    <t>Select Dryer Control</t>
  </si>
  <si>
    <t>Emission Factors - lb of pollutant per ton of asphalt produced</t>
  </si>
  <si>
    <t>Fabric Filter</t>
  </si>
  <si>
    <t xml:space="preserve"> VOCs</t>
  </si>
  <si>
    <r>
      <t>NO</t>
    </r>
    <r>
      <rPr>
        <b/>
        <vertAlign val="subscript"/>
        <sz val="11"/>
        <rFont val="Calibri"/>
        <family val="2"/>
        <scheme val="minor"/>
      </rPr>
      <t>X</t>
    </r>
    <r>
      <rPr>
        <b/>
        <sz val="11"/>
        <rFont val="Calibri"/>
        <family val="2"/>
        <scheme val="minor"/>
      </rPr>
      <t xml:space="preserve"> </t>
    </r>
  </si>
  <si>
    <t>CO</t>
  </si>
  <si>
    <r>
      <t>SO</t>
    </r>
    <r>
      <rPr>
        <b/>
        <vertAlign val="subscript"/>
        <sz val="11"/>
        <rFont val="Calibri"/>
        <family val="2"/>
        <scheme val="minor"/>
      </rPr>
      <t>2</t>
    </r>
    <r>
      <rPr>
        <b/>
        <sz val="11"/>
        <rFont val="Calibri"/>
        <family val="2"/>
        <scheme val="minor"/>
      </rPr>
      <t xml:space="preserve"> </t>
    </r>
  </si>
  <si>
    <r>
      <t>PM</t>
    </r>
    <r>
      <rPr>
        <b/>
        <vertAlign val="superscript"/>
        <sz val="11"/>
        <rFont val="Calibri"/>
        <family val="2"/>
      </rPr>
      <t>Ɨ</t>
    </r>
  </si>
  <si>
    <r>
      <t>PM</t>
    </r>
    <r>
      <rPr>
        <b/>
        <vertAlign val="subscript"/>
        <sz val="11"/>
        <rFont val="Calibri"/>
        <family val="2"/>
        <scheme val="minor"/>
      </rPr>
      <t>10</t>
    </r>
    <r>
      <rPr>
        <b/>
        <vertAlign val="superscript"/>
        <sz val="11"/>
        <rFont val="Calibri"/>
        <family val="2"/>
      </rPr>
      <t>Ɨ</t>
    </r>
  </si>
  <si>
    <r>
      <t>PM</t>
    </r>
    <r>
      <rPr>
        <b/>
        <vertAlign val="subscript"/>
        <sz val="11"/>
        <rFont val="Calibri"/>
        <family val="2"/>
        <scheme val="minor"/>
      </rPr>
      <t>2.5</t>
    </r>
    <r>
      <rPr>
        <b/>
        <vertAlign val="superscript"/>
        <sz val="11"/>
        <rFont val="Calibri"/>
        <family val="2"/>
      </rPr>
      <t>Ɨ</t>
    </r>
  </si>
  <si>
    <t>Emission Rates</t>
  </si>
  <si>
    <t xml:space="preserve">VOCs </t>
  </si>
  <si>
    <t>VOCs Rubber Modified</t>
  </si>
  <si>
    <t>Hourly (lb/hr)</t>
  </si>
  <si>
    <t>Annual (ton/yr)</t>
  </si>
  <si>
    <t>*Liquefied Petroleum Gas (LPG) - Generally Propane or Butane</t>
  </si>
  <si>
    <r>
      <rPr>
        <b/>
        <vertAlign val="superscript"/>
        <sz val="11"/>
        <rFont val="Calibri"/>
        <family val="2"/>
      </rPr>
      <t>Ɨ</t>
    </r>
    <r>
      <rPr>
        <b/>
        <sz val="11"/>
        <rFont val="Calibri"/>
        <family val="2"/>
      </rPr>
      <t xml:space="preserve"> Total particulate is the sum of filterable particulate, condensable inorganic particulate and condensable organic particulate.</t>
    </r>
  </si>
  <si>
    <t>Natural Gas or LPG</t>
  </si>
  <si>
    <t>VOCs Rubber</t>
  </si>
  <si>
    <t>Emission Factors</t>
  </si>
  <si>
    <t>lb/ per ton of asphalt</t>
  </si>
  <si>
    <t>Batch Mix (Pug Mill)</t>
  </si>
  <si>
    <t>No. 2 Fuel Oil</t>
  </si>
  <si>
    <t>Waste Oil</t>
  </si>
  <si>
    <t>NG, LPG, No. 2, or WO</t>
  </si>
  <si>
    <t>Wet Scrubber</t>
  </si>
  <si>
    <t>Maximum Hourly Rate (ton/hr)</t>
  </si>
  <si>
    <t>Maximum Annual Rate (ton/yr)</t>
  </si>
  <si>
    <t>PM (lb/hr)</t>
  </si>
  <si>
    <t>PM (ton/yr)</t>
  </si>
  <si>
    <t>PM10 (lb/hr)</t>
  </si>
  <si>
    <t>PM10 (ton/yr)</t>
  </si>
  <si>
    <t>PM2.5 (lb/hr)</t>
  </si>
  <si>
    <t>PM2.5 (ton/yr)</t>
  </si>
  <si>
    <t>Outlet Grain Loading of Bagh(gr/scf)</t>
  </si>
  <si>
    <t>Annual Unloading Hours (hr/yr)</t>
  </si>
  <si>
    <t>lb/ton of PM</t>
  </si>
  <si>
    <t>lb/ton of PM10</t>
  </si>
  <si>
    <t>lb/ton of PM2.5</t>
  </si>
  <si>
    <t>PM/PM10/PM2.5 (lb/hr)</t>
  </si>
  <si>
    <t>PM/PM10/PM2.5 (ton/yr)</t>
  </si>
  <si>
    <t>Max Unloading (flow) Rate (dcfm)</t>
  </si>
  <si>
    <t>Rapid Cure*</t>
  </si>
  <si>
    <t>Medium Cure</t>
  </si>
  <si>
    <t>Slow / Specialty Cure</t>
  </si>
  <si>
    <t>Emulsion</t>
  </si>
  <si>
    <t>Other</t>
  </si>
  <si>
    <t xml:space="preserve">EF1 (lb/ton) </t>
  </si>
  <si>
    <t>EF2 (lb/hr-ton-week)</t>
  </si>
  <si>
    <t>n/a</t>
  </si>
  <si>
    <t>TOTAL</t>
  </si>
  <si>
    <t>VOC (lb/hr) (stack)</t>
  </si>
  <si>
    <t>VOC (ton/yr) (stack)</t>
  </si>
  <si>
    <t>VOC (lb/hr) (fugitive)</t>
  </si>
  <si>
    <t>VOC (ton/yr) (fugitive)</t>
  </si>
  <si>
    <t>*Rapid Cure Cold Mix should not be stockpiled. It should be packaged and shipped immediately.</t>
  </si>
  <si>
    <t>Ton/hr Production</t>
  </si>
  <si>
    <t>Ton/yr Production</t>
  </si>
  <si>
    <t>Ton/week Production</t>
  </si>
  <si>
    <t>Stockpile Area (acres)</t>
  </si>
  <si>
    <t>Control Efficiency %</t>
  </si>
  <si>
    <t>Number of active days per year</t>
  </si>
  <si>
    <t>PM inactive emissions (ton/yr)</t>
  </si>
  <si>
    <r>
      <t>PM</t>
    </r>
    <r>
      <rPr>
        <vertAlign val="subscript"/>
        <sz val="11"/>
        <rFont val="Calibri"/>
        <family val="2"/>
        <scheme val="minor"/>
      </rPr>
      <t>10</t>
    </r>
    <r>
      <rPr>
        <sz val="11"/>
        <rFont val="Calibri"/>
        <family val="2"/>
        <scheme val="minor"/>
      </rPr>
      <t xml:space="preserve"> inactive emissions (ton/yr)</t>
    </r>
  </si>
  <si>
    <r>
      <t>PM</t>
    </r>
    <r>
      <rPr>
        <vertAlign val="subscript"/>
        <sz val="11"/>
        <rFont val="Calibri"/>
        <family val="2"/>
        <scheme val="minor"/>
      </rPr>
      <t>2.5</t>
    </r>
    <r>
      <rPr>
        <sz val="11"/>
        <rFont val="Calibri"/>
        <family val="2"/>
        <scheme val="minor"/>
      </rPr>
      <t xml:space="preserve"> inactive emissions (ton/yr)</t>
    </r>
  </si>
  <si>
    <t>PM active emissions (ton/yr)</t>
  </si>
  <si>
    <r>
      <t>PM</t>
    </r>
    <r>
      <rPr>
        <vertAlign val="subscript"/>
        <sz val="11"/>
        <rFont val="Calibri"/>
        <family val="2"/>
        <scheme val="minor"/>
      </rPr>
      <t>10</t>
    </r>
    <r>
      <rPr>
        <sz val="11"/>
        <rFont val="Calibri"/>
        <family val="2"/>
        <scheme val="minor"/>
      </rPr>
      <t xml:space="preserve"> active emissions (ton/yr)</t>
    </r>
  </si>
  <si>
    <r>
      <t>PM</t>
    </r>
    <r>
      <rPr>
        <vertAlign val="subscript"/>
        <sz val="11"/>
        <rFont val="Calibri"/>
        <family val="2"/>
        <scheme val="minor"/>
      </rPr>
      <t>2.5</t>
    </r>
    <r>
      <rPr>
        <sz val="11"/>
        <rFont val="Calibri"/>
        <family val="2"/>
        <scheme val="minor"/>
      </rPr>
      <t xml:space="preserve"> active emissions (ton/yr)</t>
    </r>
  </si>
  <si>
    <t>TOTAL PM emissions (ton/yr)</t>
  </si>
  <si>
    <r>
      <t>TOTAL PM</t>
    </r>
    <r>
      <rPr>
        <vertAlign val="subscript"/>
        <sz val="11"/>
        <rFont val="Calibri"/>
        <family val="2"/>
        <scheme val="minor"/>
      </rPr>
      <t>10</t>
    </r>
    <r>
      <rPr>
        <sz val="11"/>
        <rFont val="Calibri"/>
        <family val="2"/>
        <scheme val="minor"/>
      </rPr>
      <t xml:space="preserve"> emissions (ton/yr)</t>
    </r>
  </si>
  <si>
    <r>
      <t>TOTAL PM</t>
    </r>
    <r>
      <rPr>
        <vertAlign val="subscript"/>
        <sz val="11"/>
        <rFont val="Calibri"/>
        <family val="2"/>
        <scheme val="minor"/>
      </rPr>
      <t>2.5</t>
    </r>
    <r>
      <rPr>
        <sz val="11"/>
        <rFont val="Calibri"/>
        <family val="2"/>
        <scheme val="minor"/>
      </rPr>
      <t xml:space="preserve"> emissions (ton/yr)</t>
    </r>
  </si>
  <si>
    <t>Wet Material</t>
  </si>
  <si>
    <t>Water Sprays</t>
  </si>
  <si>
    <t>Pre-washed</t>
  </si>
  <si>
    <t>Example Control Efficiencies in Percentages</t>
  </si>
  <si>
    <t>EF (lb/ton)</t>
  </si>
  <si>
    <t>Tons/Yr</t>
  </si>
  <si>
    <t>Total PM</t>
  </si>
  <si>
    <t>Organic PM</t>
  </si>
  <si>
    <t>Truck Loadout Rate (ton/hr)</t>
  </si>
  <si>
    <t>TOC</t>
  </si>
  <si>
    <t>Truck Loadout Rate (ton/yr)</t>
  </si>
  <si>
    <t>VOC</t>
  </si>
  <si>
    <t>Natural Gas</t>
  </si>
  <si>
    <t>lb/hr</t>
  </si>
  <si>
    <t>ton/yr</t>
  </si>
  <si>
    <t>NOx</t>
  </si>
  <si>
    <t>Use Chapter 11.1 Hot Mix Asphalt Plants CO Factor</t>
  </si>
  <si>
    <t>Use Chapter 1 External Combustion Sources CO Factor</t>
  </si>
  <si>
    <t>Propane</t>
  </si>
  <si>
    <t>Instructions and References</t>
  </si>
  <si>
    <t>Production and Schedule</t>
  </si>
  <si>
    <t>Dryer and Cold Mix Calculations</t>
  </si>
  <si>
    <t>Lime Silo Calculations</t>
  </si>
  <si>
    <t>Load out Temperature ˚F</t>
  </si>
  <si>
    <t>Silo Filling Temperature ˚F</t>
  </si>
  <si>
    <r>
      <t>SO</t>
    </r>
    <r>
      <rPr>
        <vertAlign val="subscript"/>
        <sz val="11"/>
        <rFont val="Arial"/>
        <family val="2"/>
      </rPr>
      <t>2</t>
    </r>
  </si>
  <si>
    <t>PM (filterable + Condensable)</t>
  </si>
  <si>
    <r>
      <t>PM</t>
    </r>
    <r>
      <rPr>
        <vertAlign val="subscript"/>
        <sz val="11"/>
        <rFont val="Arial"/>
        <family val="2"/>
      </rPr>
      <t xml:space="preserve">10 </t>
    </r>
    <r>
      <rPr>
        <sz val="11"/>
        <rFont val="Arial"/>
        <family val="2"/>
      </rPr>
      <t>(filterable + Condensable)</t>
    </r>
  </si>
  <si>
    <t>EPN(s)</t>
  </si>
  <si>
    <t>Select EPN Type</t>
  </si>
  <si>
    <t>Number of Like Points</t>
  </si>
  <si>
    <t>Use "Controlled" emission factors? (Yes or No)</t>
  </si>
  <si>
    <t>Control % (Used with "Uncontrolled" factors only)</t>
  </si>
  <si>
    <t xml:space="preserve">Row </t>
  </si>
  <si>
    <t>ton/hr</t>
  </si>
  <si>
    <t>PM lb/ton</t>
  </si>
  <si>
    <r>
      <t>PM</t>
    </r>
    <r>
      <rPr>
        <b/>
        <vertAlign val="subscript"/>
        <sz val="11"/>
        <rFont val="Calibri"/>
        <family val="2"/>
        <scheme val="minor"/>
      </rPr>
      <t>10</t>
    </r>
    <r>
      <rPr>
        <b/>
        <sz val="11"/>
        <rFont val="Calibri"/>
        <family val="2"/>
        <scheme val="minor"/>
      </rPr>
      <t xml:space="preserve"> lb/ton</t>
    </r>
  </si>
  <si>
    <r>
      <t>PM</t>
    </r>
    <r>
      <rPr>
        <b/>
        <vertAlign val="subscript"/>
        <sz val="11"/>
        <rFont val="Calibri"/>
        <family val="2"/>
        <scheme val="minor"/>
      </rPr>
      <t>2.5</t>
    </r>
    <r>
      <rPr>
        <b/>
        <sz val="11"/>
        <rFont val="Calibri"/>
        <family val="2"/>
        <scheme val="minor"/>
      </rPr>
      <t xml:space="preserve"> lb/ton</t>
    </r>
  </si>
  <si>
    <t>Example Control Methods</t>
  </si>
  <si>
    <t>None</t>
  </si>
  <si>
    <t>Water</t>
  </si>
  <si>
    <t>Chemicals</t>
  </si>
  <si>
    <t>Enclosure</t>
  </si>
  <si>
    <t>50-90</t>
  </si>
  <si>
    <t>Pre-washed Material</t>
  </si>
  <si>
    <t>Row</t>
  </si>
  <si>
    <t>Total</t>
  </si>
  <si>
    <t>Crusher</t>
  </si>
  <si>
    <t>yes</t>
  </si>
  <si>
    <t>no</t>
  </si>
  <si>
    <t>Transfer/Drop Point</t>
  </si>
  <si>
    <t>Screen</t>
  </si>
  <si>
    <t>Stockpile Calculations</t>
  </si>
  <si>
    <t>Asphalt Volatility Factor*</t>
  </si>
  <si>
    <t>No data</t>
  </si>
  <si>
    <t>End of worksheet</t>
  </si>
  <si>
    <t>Cold Mix VOC Emissions</t>
  </si>
  <si>
    <t>Percent Shipped Immediately</t>
  </si>
  <si>
    <t>Material Handling Emission Summary Table</t>
  </si>
  <si>
    <r>
      <t>PM</t>
    </r>
    <r>
      <rPr>
        <b/>
        <vertAlign val="subscript"/>
        <sz val="11"/>
        <rFont val="Calibri"/>
        <family val="2"/>
        <scheme val="minor"/>
      </rPr>
      <t>2.5</t>
    </r>
    <r>
      <rPr>
        <b/>
        <sz val="11"/>
        <rFont val="Calibri"/>
        <family val="2"/>
        <scheme val="minor"/>
      </rPr>
      <t xml:space="preserve"> ton/yr</t>
    </r>
  </si>
  <si>
    <r>
      <t>PM</t>
    </r>
    <r>
      <rPr>
        <b/>
        <vertAlign val="subscript"/>
        <sz val="11"/>
        <rFont val="Calibri"/>
        <family val="2"/>
        <scheme val="minor"/>
      </rPr>
      <t>2.5</t>
    </r>
    <r>
      <rPr>
        <b/>
        <sz val="11"/>
        <rFont val="Calibri"/>
        <family val="2"/>
        <scheme val="minor"/>
      </rPr>
      <t xml:space="preserve"> lb/hr</t>
    </r>
  </si>
  <si>
    <r>
      <t>PM</t>
    </r>
    <r>
      <rPr>
        <b/>
        <vertAlign val="subscript"/>
        <sz val="11"/>
        <rFont val="Calibri"/>
        <family val="2"/>
        <scheme val="minor"/>
      </rPr>
      <t>10</t>
    </r>
    <r>
      <rPr>
        <b/>
        <sz val="11"/>
        <rFont val="Calibri"/>
        <family val="2"/>
        <scheme val="minor"/>
      </rPr>
      <t xml:space="preserve"> ton/yr</t>
    </r>
  </si>
  <si>
    <r>
      <t>PM</t>
    </r>
    <r>
      <rPr>
        <b/>
        <vertAlign val="subscript"/>
        <sz val="11"/>
        <rFont val="Calibri"/>
        <family val="2"/>
        <scheme val="minor"/>
      </rPr>
      <t>10</t>
    </r>
    <r>
      <rPr>
        <b/>
        <sz val="11"/>
        <rFont val="Calibri"/>
        <family val="2"/>
        <scheme val="minor"/>
      </rPr>
      <t xml:space="preserve"> lb/hr</t>
    </r>
  </si>
  <si>
    <t>PM ton/yr</t>
  </si>
  <si>
    <t>PM lb/hr</t>
  </si>
  <si>
    <t>Raw Material Stockpiles</t>
  </si>
  <si>
    <t>Stockpile 1</t>
  </si>
  <si>
    <t>Stockpile 2</t>
  </si>
  <si>
    <t>Stockpile 3</t>
  </si>
  <si>
    <t>Stockpile 4</t>
  </si>
  <si>
    <t>Asphalt Truck Loadout and Hot Oil Heater Emissions</t>
  </si>
  <si>
    <t>Emission Factor (lb/ton)</t>
  </si>
  <si>
    <t>Tons/yr</t>
  </si>
  <si>
    <t>Lbs/hr</t>
  </si>
  <si>
    <t>*If no data on asphalt volatility available, use 0.5 as default</t>
  </si>
  <si>
    <t>Select Type of Fuel Used From Drop Down</t>
  </si>
  <si>
    <r>
      <rPr>
        <b/>
        <sz val="11"/>
        <rFont val="Arial"/>
        <family val="2"/>
      </rPr>
      <t>Instructions:</t>
    </r>
    <r>
      <rPr>
        <sz val="11"/>
        <rFont val="Arial"/>
        <family val="2"/>
      </rPr>
      <t xml:space="preserve"> Input data into the tan cells below relating to asphalt volatility, loadout temperature, silo filling temperature, and truck loadout rates to generate silo filling and loadout emissions.  For Hot Oil Heater Emissions, select type of fuel and if prompted, enter the sulfur percentage.  You will be prompted for the ash percetange for WO (waste oil).  Choose between Chapter 1 and Chapter 11 factors as prompted for natural gas or fuel oil.</t>
    </r>
  </si>
  <si>
    <t>Select the proper chapter if using Fuel Oil</t>
  </si>
  <si>
    <t>Dryer Stack</t>
  </si>
  <si>
    <t>PM</t>
  </si>
  <si>
    <t>VOC (cold mix)</t>
  </si>
  <si>
    <t>VOC (Rubber)</t>
  </si>
  <si>
    <t>Material Handling and Processing Emission Calculation Table</t>
  </si>
  <si>
    <t>Material Handling and Processing</t>
  </si>
  <si>
    <t>Emissions and Totals</t>
  </si>
  <si>
    <t>Emissions Summary Table</t>
  </si>
  <si>
    <t>Emission Point Number(s)</t>
  </si>
  <si>
    <t>Name</t>
  </si>
  <si>
    <r>
      <t>PM</t>
    </r>
    <r>
      <rPr>
        <vertAlign val="subscript"/>
        <sz val="11"/>
        <rFont val="Calibri"/>
        <family val="2"/>
        <scheme val="minor"/>
      </rPr>
      <t>10</t>
    </r>
  </si>
  <si>
    <r>
      <t>PM</t>
    </r>
    <r>
      <rPr>
        <vertAlign val="subscript"/>
        <sz val="11"/>
        <rFont val="Calibri"/>
        <family val="2"/>
        <scheme val="minor"/>
      </rPr>
      <t>2.5</t>
    </r>
  </si>
  <si>
    <r>
      <t>SO</t>
    </r>
    <r>
      <rPr>
        <vertAlign val="subscript"/>
        <sz val="11"/>
        <rFont val="Calibri"/>
        <family val="2"/>
        <scheme val="minor"/>
      </rPr>
      <t>2</t>
    </r>
  </si>
  <si>
    <t>Pollutant</t>
  </si>
  <si>
    <t>Asphalt Silo Filling and Loadout</t>
  </si>
  <si>
    <t>Emission Rates From the Dryer</t>
  </si>
  <si>
    <t>Emission rates of TOC and Organic PM can be used in speciated modeling, but on the MAERT they should simply be listed as PM (using total figure) and VOC.</t>
  </si>
  <si>
    <r>
      <t>PM2.5</t>
    </r>
    <r>
      <rPr>
        <vertAlign val="subscript"/>
        <sz val="11"/>
        <rFont val="Arial"/>
        <family val="2"/>
      </rPr>
      <t xml:space="preserve"> </t>
    </r>
    <r>
      <rPr>
        <sz val="11"/>
        <rFont val="Arial"/>
        <family val="2"/>
      </rPr>
      <t>(filterable + Condensable)</t>
    </r>
  </si>
  <si>
    <t>Hot Oil Heater(s)</t>
  </si>
  <si>
    <t>Stockpile(s)</t>
  </si>
  <si>
    <t>Lime Silo(s)</t>
  </si>
  <si>
    <r>
      <rPr>
        <b/>
        <sz val="11"/>
        <color theme="1"/>
        <rFont val="Calibri"/>
        <family val="2"/>
        <scheme val="minor"/>
      </rPr>
      <t>Instructions:</t>
    </r>
    <r>
      <rPr>
        <sz val="11"/>
        <color theme="1"/>
        <rFont val="Calibri"/>
        <family val="2"/>
        <scheme val="minor"/>
      </rPr>
      <t xml:space="preserve"> Enter EPN number below for ease of reference in the application.  If the number is less than 0.01 it will appear as 0.00 rounded to two digits.  This should be listed as &lt;0.01 in the Application Workbook and on the permit.</t>
    </r>
  </si>
  <si>
    <r>
      <rPr>
        <b/>
        <sz val="11"/>
        <rFont val="Arial"/>
        <family val="2"/>
      </rPr>
      <t>Instructions:</t>
    </r>
    <r>
      <rPr>
        <sz val="11"/>
        <rFont val="Arial"/>
        <family val="2"/>
      </rPr>
      <t xml:space="preserve"> Choose type of plant, select fuel, and select dryer control in the tan fields on Line 5.  For cold mix, enter data in the tan fields on lines 21 through 26.</t>
    </r>
  </si>
  <si>
    <t>Material Handling Inputs</t>
  </si>
  <si>
    <r>
      <rPr>
        <b/>
        <sz val="11"/>
        <color theme="1"/>
        <rFont val="Calibri"/>
        <family val="2"/>
        <scheme val="minor"/>
      </rPr>
      <t>Instructions:</t>
    </r>
    <r>
      <rPr>
        <sz val="11"/>
        <color theme="1"/>
        <rFont val="Calibri"/>
        <family val="2"/>
        <scheme val="minor"/>
      </rPr>
      <t xml:space="preserve"> Input emission point (EPN) numbers, types, throughputs, and number of like points.  Select whether using the default controlled emission factor (wet) or use a custom factor from the list below. If controlled factors are used, then the "Control %" column should be blank.  A control efficiency should only be entered when "Uncontrolled" emission factors are used.</t>
    </r>
  </si>
  <si>
    <r>
      <t xml:space="preserve">Instructions: </t>
    </r>
    <r>
      <rPr>
        <sz val="11"/>
        <color theme="1"/>
        <rFont val="Calibri"/>
        <family val="2"/>
        <scheme val="minor"/>
      </rPr>
      <t>Input stockpile area in acres, choose a control efficiency, and specify active days per year. Active stockpiles are those that have 8 or more hours of activity per 24 hours.  Also, based on TCEQ guidance no hourly PM numbers are generated for stockpiles.</t>
    </r>
  </si>
  <si>
    <t>PM Emissions From Hydrated Lime Storage - Using Outlet Grain Loading Method</t>
  </si>
  <si>
    <r>
      <rPr>
        <b/>
        <sz val="11"/>
        <color theme="1"/>
        <rFont val="Calibri"/>
        <family val="2"/>
        <scheme val="minor"/>
      </rPr>
      <t>Instructions:</t>
    </r>
    <r>
      <rPr>
        <sz val="11"/>
        <color theme="1"/>
        <rFont val="Calibri"/>
        <family val="2"/>
        <scheme val="minor"/>
      </rPr>
      <t xml:space="preserve"> Pick a method of calculation and input data into the specified cells.  If permitting multiple silos, enter information for each silo in the provided areas.</t>
    </r>
  </si>
  <si>
    <t>Silo 1. PM Emissions From Hydrated Lime Storage - Using AP-42 Emission Factors - Controlled</t>
  </si>
  <si>
    <t>Silo 2. PM Emissions From Hydrated Lime Storage - Using AP-42 Emission Factors - Controlled</t>
  </si>
  <si>
    <t>Silo 3. PM Emissions From Hydrated Lime Storage - Using AP-42 Emission Factors - Controlled</t>
  </si>
  <si>
    <t>Silo 4. PM Emissions From Hydrated Lime Storage - Using AP-42 Emission Factors - Controlled</t>
  </si>
  <si>
    <t>Silo 1. PM Emissions From Hydrated Lime Storage - Using Outlet Grain Loading Method</t>
  </si>
  <si>
    <t>Silo 2. PM Emissions From Hydrated Lime Storage - Using Outlet Grain Loading Method</t>
  </si>
  <si>
    <t>Silo 3. PM Emissions From Hydrated Lime Storage - Using Outlet Grain Loading Method</t>
  </si>
  <si>
    <t>Silo Filling and Truck Loadout Emission Calculations</t>
  </si>
  <si>
    <t>Silo Filling Emissions</t>
  </si>
  <si>
    <t>Loadout Emissions</t>
  </si>
  <si>
    <t>Hot Oil Heater Emission Calculations</t>
  </si>
  <si>
    <t>Developed by: TCEQ Air Permits Division, Mechanical Coatings Section - Mechanical Team
This spreadsheet calculates emissions from asphalt plants, including the dryer, cold mix processes, the lime silo(s), loadout and heater, material handling, and stockpiles.  From this data the Maximum Allowable Emission Rates Table can be developed.  A summary of sources and emissions can be found in the Summary Table.  References can be found below.  Enter data into the tan cells.</t>
  </si>
  <si>
    <t>Hot Mix Asphalt Plant (HMAP) Emissions Calculation Spreadsheet</t>
  </si>
  <si>
    <r>
      <t xml:space="preserve">HMAP Worksheet Version No.: </t>
    </r>
    <r>
      <rPr>
        <sz val="11"/>
        <color theme="1"/>
        <rFont val="Arial"/>
        <family val="2"/>
      </rPr>
      <t>Version 1.0 APDG6491v1</t>
    </r>
    <r>
      <rPr>
        <b/>
        <sz val="11"/>
        <color theme="1"/>
        <rFont val="Arial"/>
        <family val="2"/>
      </rPr>
      <t xml:space="preserve">
Last Revision Date: </t>
    </r>
    <r>
      <rPr>
        <sz val="11"/>
        <color theme="1"/>
        <rFont val="Arial"/>
        <family val="2"/>
      </rPr>
      <t>February 19,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</si>
</sst>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00000"/>
  </numFmts>
  <fonts count="25" x14ac:knownFonts="1">
    <font>
      <sz val="11"/>
      <color theme="1"/>
      <name val="Calibri"/>
      <family val="2"/>
      <scheme val="minor"/>
    </font>
    <font>
      <b/>
      <sz val="14"/>
      <color theme="1"/>
      <name val="Arial"/>
      <family val="2"/>
    </font>
    <font>
      <u/>
      <sz val="11"/>
      <color theme="10"/>
      <name val="Calibri"/>
      <family val="2"/>
      <scheme val="minor"/>
    </font>
    <font>
      <b/>
      <sz val="11"/>
      <color theme="1"/>
      <name val="Arial"/>
      <family val="2"/>
    </font>
    <font>
      <sz val="11"/>
      <color theme="1"/>
      <name val="Arial"/>
      <family val="2"/>
    </font>
    <font>
      <i/>
      <sz val="11"/>
      <color theme="1"/>
      <name val="Arial"/>
      <family val="2"/>
    </font>
    <font>
      <sz val="11"/>
      <name val="Arial"/>
      <family val="2"/>
    </font>
    <font>
      <b/>
      <sz val="11"/>
      <name val="Calibri"/>
      <family val="2"/>
      <scheme val="minor"/>
    </font>
    <font>
      <b/>
      <vertAlign val="subscript"/>
      <sz val="11"/>
      <name val="Calibri"/>
      <family val="2"/>
      <scheme val="minor"/>
    </font>
    <font>
      <b/>
      <vertAlign val="superscript"/>
      <sz val="11"/>
      <name val="Calibri"/>
      <family val="2"/>
    </font>
    <font>
      <sz val="11"/>
      <name val="Calibri"/>
      <family val="2"/>
      <scheme val="minor"/>
    </font>
    <font>
      <b/>
      <sz val="11"/>
      <name val="Calibri"/>
      <family val="2"/>
    </font>
    <font>
      <b/>
      <sz val="12"/>
      <name val="Calibri"/>
      <family val="2"/>
      <scheme val="minor"/>
    </font>
    <font>
      <b/>
      <i/>
      <sz val="11"/>
      <name val="Calibri"/>
      <family val="2"/>
      <scheme val="minor"/>
    </font>
    <font>
      <b/>
      <sz val="11"/>
      <color indexed="8"/>
      <name val="Calibri"/>
      <family val="2"/>
      <scheme val="minor"/>
    </font>
    <font>
      <vertAlign val="subscript"/>
      <sz val="11"/>
      <name val="Calibri"/>
      <family val="2"/>
      <scheme val="minor"/>
    </font>
    <font>
      <b/>
      <sz val="11"/>
      <color theme="1"/>
      <name val="Calibri"/>
      <family val="2"/>
      <scheme val="minor"/>
    </font>
    <font>
      <b/>
      <sz val="11"/>
      <name val="Arial"/>
      <family val="2"/>
    </font>
    <font>
      <vertAlign val="subscript"/>
      <sz val="11"/>
      <name val="Arial"/>
      <family val="2"/>
    </font>
    <font>
      <b/>
      <sz val="11"/>
      <color theme="0"/>
      <name val="Calibri"/>
      <family val="2"/>
      <scheme val="minor"/>
    </font>
    <font>
      <sz val="11"/>
      <color theme="0"/>
      <name val="Calibri"/>
      <family val="2"/>
      <scheme val="minor"/>
    </font>
    <font>
      <sz val="11"/>
      <color theme="0"/>
      <name val="Arial"/>
      <family val="2"/>
    </font>
    <font>
      <u/>
      <sz val="11"/>
      <color theme="0"/>
      <name val="Arial"/>
      <family val="2"/>
    </font>
    <font>
      <b/>
      <sz val="14"/>
      <color theme="1"/>
      <name val="Calibri"/>
      <family val="2"/>
      <scheme val="minor"/>
    </font>
    <font>
      <b/>
      <sz val="12"/>
      <color theme="0"/>
      <name val="Calibri"/>
      <family val="2"/>
      <scheme val="minor"/>
    </font>
  </fonts>
  <fills count="9">
    <fill>
      <patternFill patternType="none"/>
    </fill>
    <fill>
      <patternFill patternType="gray125"/>
    </fill>
    <fill>
      <patternFill patternType="solid">
        <fgColor rgb="FFDFD6C3"/>
        <bgColor indexed="64"/>
      </patternFill>
    </fill>
    <fill>
      <patternFill patternType="solid">
        <fgColor rgb="FFE4D5BE"/>
        <bgColor indexed="64"/>
      </patternFill>
    </fill>
    <fill>
      <patternFill patternType="solid">
        <fgColor rgb="FFDFD6C3"/>
        <bgColor indexed="9"/>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lightUp"/>
    </fill>
  </fills>
  <borders count="48">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medium">
        <color indexed="64"/>
      </top>
      <bottom/>
      <diagonal/>
    </border>
    <border>
      <left/>
      <right style="thin">
        <color auto="1"/>
      </right>
      <top/>
      <bottom/>
      <diagonal/>
    </border>
    <border>
      <left style="thin">
        <color auto="1"/>
      </left>
      <right/>
      <top/>
      <bottom/>
      <diagonal/>
    </border>
    <border>
      <left style="thin">
        <color auto="1"/>
      </left>
      <right/>
      <top/>
      <bottom style="medium">
        <color indexed="64"/>
      </bottom>
      <diagonal/>
    </border>
    <border>
      <left style="thin">
        <color auto="1"/>
      </left>
      <right/>
      <top style="medium">
        <color indexed="64"/>
      </top>
      <bottom style="medium">
        <color indexed="64"/>
      </bottom>
      <diagonal/>
    </border>
    <border>
      <left/>
      <right style="thin">
        <color auto="1"/>
      </right>
      <top/>
      <bottom style="medium">
        <color auto="1"/>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medium">
        <color indexed="64"/>
      </top>
      <bottom style="thin">
        <color auto="1"/>
      </bottom>
      <diagonal/>
    </border>
  </borders>
  <cellStyleXfs count="2">
    <xf numFmtId="0" fontId="0" fillId="0" borderId="0"/>
    <xf numFmtId="0" fontId="2" fillId="0" borderId="0" applyNumberFormat="0" applyFill="0" applyBorder="0" applyAlignment="0" applyProtection="0"/>
  </cellStyleXfs>
  <cellXfs count="310">
    <xf numFmtId="0" fontId="0" fillId="0" borderId="0" xfId="0"/>
    <xf numFmtId="0" fontId="4" fillId="0" borderId="0" xfId="0" applyFont="1"/>
    <xf numFmtId="0" fontId="4" fillId="0" borderId="0" xfId="0" applyFont="1" applyAlignment="1" applyProtection="1">
      <alignment horizontal="left" vertical="center"/>
    </xf>
    <xf numFmtId="0" fontId="4" fillId="0" borderId="1" xfId="0" applyFont="1" applyBorder="1"/>
    <xf numFmtId="0" fontId="4" fillId="0" borderId="2" xfId="0" applyFont="1" applyBorder="1"/>
    <xf numFmtId="0" fontId="4" fillId="0" borderId="3" xfId="0" applyFont="1" applyBorder="1"/>
    <xf numFmtId="0" fontId="6" fillId="2" borderId="8" xfId="0" applyFont="1" applyFill="1" applyBorder="1" applyAlignment="1" applyProtection="1">
      <alignment horizontal="center" vertical="center"/>
      <protection locked="0"/>
    </xf>
    <xf numFmtId="2" fontId="10" fillId="0" borderId="0" xfId="0" applyNumberFormat="1" applyFont="1" applyFill="1" applyBorder="1" applyAlignment="1" applyProtection="1">
      <alignment horizontal="center" vertical="center"/>
    </xf>
    <xf numFmtId="0" fontId="7" fillId="0" borderId="0" xfId="0" applyFont="1" applyBorder="1" applyAlignment="1" applyProtection="1">
      <alignment horizontal="center"/>
    </xf>
    <xf numFmtId="0" fontId="10" fillId="0" borderId="0" xfId="0" applyFont="1" applyBorder="1" applyAlignment="1" applyProtection="1">
      <alignment horizontal="center"/>
    </xf>
    <xf numFmtId="0" fontId="4" fillId="0" borderId="8" xfId="0" applyFont="1" applyBorder="1"/>
    <xf numFmtId="0" fontId="10" fillId="0" borderId="10" xfId="0" applyFont="1" applyFill="1" applyBorder="1" applyAlignment="1" applyProtection="1">
      <alignment horizontal="center" vertical="center"/>
    </xf>
    <xf numFmtId="2" fontId="10" fillId="0" borderId="11" xfId="0" applyNumberFormat="1" applyFont="1" applyFill="1" applyBorder="1" applyAlignment="1" applyProtection="1">
      <alignment horizontal="center" vertical="center"/>
    </xf>
    <xf numFmtId="2" fontId="10" fillId="0" borderId="5" xfId="0" applyNumberFormat="1" applyFont="1" applyFill="1" applyBorder="1" applyAlignment="1" applyProtection="1">
      <alignment horizontal="center" vertical="center"/>
    </xf>
    <xf numFmtId="0" fontId="4" fillId="0" borderId="0" xfId="0" applyFont="1" applyFill="1"/>
    <xf numFmtId="0" fontId="4" fillId="0" borderId="0" xfId="0" applyFont="1" applyFill="1" applyAlignment="1" applyProtection="1">
      <alignment horizontal="left" vertical="center" wrapText="1"/>
    </xf>
    <xf numFmtId="0" fontId="3" fillId="0" borderId="0" xfId="0" applyFont="1"/>
    <xf numFmtId="0" fontId="6" fillId="0" borderId="0" xfId="0" applyFont="1" applyProtection="1"/>
    <xf numFmtId="2" fontId="6"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66" fontId="6" fillId="0" borderId="0" xfId="0" applyNumberFormat="1" applyFont="1" applyFill="1" applyBorder="1" applyAlignment="1" applyProtection="1">
      <alignment horizontal="center" vertical="center"/>
    </xf>
    <xf numFmtId="0" fontId="6" fillId="0" borderId="0" xfId="0" applyFont="1" applyFill="1" applyProtection="1"/>
    <xf numFmtId="0" fontId="6" fillId="0" borderId="0" xfId="0" applyFont="1" applyAlignment="1" applyProtection="1">
      <alignment wrapText="1"/>
    </xf>
    <xf numFmtId="0" fontId="17" fillId="0" borderId="20" xfId="0" applyFont="1" applyFill="1" applyBorder="1" applyAlignment="1" applyProtection="1">
      <alignment horizontal="center" vertical="center" wrapText="1"/>
    </xf>
    <xf numFmtId="0" fontId="17" fillId="0" borderId="19" xfId="0" applyFont="1" applyFill="1" applyBorder="1" applyAlignment="1" applyProtection="1">
      <alignment horizontal="center" vertical="center"/>
    </xf>
    <xf numFmtId="0" fontId="6" fillId="0" borderId="0" xfId="0" applyFont="1" applyFill="1" applyBorder="1" applyProtection="1"/>
    <xf numFmtId="0" fontId="17" fillId="0" borderId="0" xfId="1" applyFont="1" applyFill="1" applyBorder="1" applyAlignment="1" applyProtection="1">
      <alignment vertical="center"/>
    </xf>
    <xf numFmtId="0" fontId="17" fillId="0" borderId="0" xfId="0" applyFont="1" applyAlignment="1" applyProtection="1">
      <alignment vertical="center" wrapText="1"/>
    </xf>
    <xf numFmtId="0" fontId="10" fillId="0" borderId="0" xfId="0" applyFont="1" applyAlignment="1" applyProtection="1">
      <alignment horizontal="center" vertical="center"/>
    </xf>
    <xf numFmtId="0" fontId="7" fillId="0" borderId="8" xfId="0" applyFont="1" applyFill="1" applyBorder="1" applyProtection="1"/>
    <xf numFmtId="2" fontId="10" fillId="0" borderId="8" xfId="0" applyNumberFormat="1" applyFont="1" applyFill="1" applyBorder="1" applyAlignment="1" applyProtection="1">
      <alignment horizontal="center" vertical="center"/>
    </xf>
    <xf numFmtId="164" fontId="10" fillId="0" borderId="8" xfId="0" applyNumberFormat="1" applyFont="1" applyFill="1" applyBorder="1" applyAlignment="1" applyProtection="1">
      <alignment horizontal="center" vertical="center"/>
    </xf>
    <xf numFmtId="165" fontId="10" fillId="0" borderId="8" xfId="0" applyNumberFormat="1"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8" xfId="0" applyFont="1" applyBorder="1" applyAlignment="1" applyProtection="1">
      <alignment horizontal="center"/>
    </xf>
    <xf numFmtId="0" fontId="21" fillId="0" borderId="0" xfId="0" applyFont="1"/>
    <xf numFmtId="0" fontId="10" fillId="0" borderId="8" xfId="0" applyFont="1" applyBorder="1" applyAlignment="1" applyProtection="1">
      <alignment horizontal="center" wrapText="1"/>
    </xf>
    <xf numFmtId="0" fontId="10" fillId="0" borderId="8" xfId="0" applyFont="1" applyBorder="1" applyProtection="1"/>
    <xf numFmtId="0" fontId="10" fillId="0" borderId="8" xfId="0" applyFont="1" applyFill="1" applyBorder="1" applyAlignment="1" applyProtection="1">
      <alignment horizontal="center"/>
    </xf>
    <xf numFmtId="9" fontId="10" fillId="0" borderId="8" xfId="0" applyNumberFormat="1" applyFont="1" applyFill="1" applyBorder="1" applyAlignment="1" applyProtection="1">
      <alignment horizontal="center"/>
    </xf>
    <xf numFmtId="2" fontId="10" fillId="0" borderId="8" xfId="0" applyNumberFormat="1" applyFont="1" applyFill="1" applyBorder="1" applyAlignment="1" applyProtection="1">
      <alignment horizontal="center"/>
    </xf>
    <xf numFmtId="0" fontId="10" fillId="2" borderId="8" xfId="0" applyFont="1" applyFill="1" applyBorder="1" applyAlignment="1" applyProtection="1">
      <alignment horizontal="center"/>
      <protection locked="0"/>
    </xf>
    <xf numFmtId="0" fontId="3" fillId="0" borderId="8" xfId="0" applyFont="1" applyBorder="1"/>
    <xf numFmtId="0" fontId="21" fillId="0" borderId="15" xfId="0" applyFont="1" applyBorder="1" applyAlignment="1">
      <alignment horizontal="center"/>
    </xf>
    <xf numFmtId="0" fontId="6" fillId="3" borderId="8"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xf>
    <xf numFmtId="0" fontId="7" fillId="3" borderId="8" xfId="0" applyFont="1" applyFill="1" applyBorder="1" applyAlignment="1" applyProtection="1">
      <alignment horizontal="center" vertical="center"/>
      <protection locked="0"/>
    </xf>
    <xf numFmtId="0" fontId="4" fillId="0" borderId="0" xfId="0" applyFont="1" applyAlignment="1">
      <alignment horizontal="left" vertical="top" wrapText="1"/>
    </xf>
    <xf numFmtId="0" fontId="17" fillId="0" borderId="20" xfId="0" applyFont="1" applyFill="1" applyBorder="1" applyAlignment="1" applyProtection="1">
      <alignment horizontal="center" vertical="center"/>
    </xf>
    <xf numFmtId="0" fontId="6" fillId="0" borderId="0" xfId="0" applyFont="1" applyBorder="1" applyAlignment="1" applyProtection="1"/>
    <xf numFmtId="0" fontId="10" fillId="0" borderId="6" xfId="0" applyFont="1" applyBorder="1" applyProtection="1"/>
    <xf numFmtId="0" fontId="10" fillId="3" borderId="6" xfId="0" applyFont="1" applyFill="1" applyBorder="1" applyAlignment="1" applyProtection="1">
      <alignment horizontal="center" vertical="center"/>
      <protection locked="0"/>
    </xf>
    <xf numFmtId="3" fontId="10" fillId="3" borderId="6" xfId="0" applyNumberFormat="1" applyFont="1" applyFill="1" applyBorder="1" applyAlignment="1" applyProtection="1">
      <alignment horizontal="center" vertical="center"/>
      <protection locked="0"/>
    </xf>
    <xf numFmtId="164" fontId="10" fillId="0" borderId="6" xfId="0" applyNumberFormat="1" applyFont="1" applyFill="1" applyBorder="1" applyAlignment="1" applyProtection="1">
      <alignment horizontal="center" vertical="center"/>
    </xf>
    <xf numFmtId="0" fontId="7" fillId="0" borderId="8" xfId="0" applyFont="1" applyBorder="1" applyAlignment="1" applyProtection="1">
      <alignment horizontal="center" vertical="center" wrapText="1"/>
    </xf>
    <xf numFmtId="0" fontId="7" fillId="0" borderId="8" xfId="0" applyFont="1" applyBorder="1" applyAlignment="1" applyProtection="1">
      <alignment vertical="center" wrapText="1"/>
    </xf>
    <xf numFmtId="0" fontId="7" fillId="0" borderId="23" xfId="0" applyFont="1" applyBorder="1" applyAlignment="1" applyProtection="1">
      <alignment horizontal="center" vertical="center" wrapText="1"/>
    </xf>
    <xf numFmtId="0" fontId="10" fillId="0" borderId="8" xfId="0" applyFont="1" applyFill="1" applyBorder="1" applyProtection="1"/>
    <xf numFmtId="165" fontId="7" fillId="0" borderId="8" xfId="0" applyNumberFormat="1" applyFont="1" applyFill="1" applyBorder="1" applyAlignment="1" applyProtection="1">
      <alignment horizontal="center"/>
    </xf>
    <xf numFmtId="0" fontId="7" fillId="0" borderId="8" xfId="0" applyFont="1" applyFill="1" applyBorder="1" applyAlignment="1" applyProtection="1">
      <alignment horizontal="center" vertical="center"/>
    </xf>
    <xf numFmtId="0" fontId="7" fillId="0" borderId="8" xfId="0" applyFont="1" applyBorder="1" applyAlignment="1" applyProtection="1">
      <alignment horizontal="center" wrapText="1"/>
    </xf>
    <xf numFmtId="0" fontId="7" fillId="0" borderId="8" xfId="0" applyFont="1" applyFill="1" applyBorder="1" applyAlignment="1" applyProtection="1">
      <alignment horizontal="center" vertical="center" wrapText="1"/>
    </xf>
    <xf numFmtId="2" fontId="7" fillId="0" borderId="8" xfId="0" applyNumberFormat="1" applyFont="1" applyFill="1" applyBorder="1" applyAlignment="1" applyProtection="1">
      <alignment horizontal="center" vertical="center"/>
    </xf>
    <xf numFmtId="0" fontId="17" fillId="0" borderId="8" xfId="0" applyFont="1" applyBorder="1" applyAlignment="1" applyProtection="1">
      <alignment vertical="center" wrapText="1"/>
    </xf>
    <xf numFmtId="0" fontId="6" fillId="0" borderId="0" xfId="0" applyFont="1" applyAlignment="1" applyProtection="1"/>
    <xf numFmtId="0" fontId="6" fillId="0" borderId="0" xfId="0" applyFont="1" applyAlignment="1" applyProtection="1">
      <alignment horizontal="left" vertical="top" wrapText="1"/>
    </xf>
    <xf numFmtId="0" fontId="6" fillId="2" borderId="8" xfId="0" applyFont="1" applyFill="1" applyBorder="1" applyAlignment="1" applyProtection="1">
      <alignment horizontal="left" vertical="top" wrapText="1"/>
      <protection locked="0"/>
    </xf>
    <xf numFmtId="0" fontId="6" fillId="2" borderId="8"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vertical="center" wrapText="1"/>
    </xf>
    <xf numFmtId="0" fontId="17" fillId="0" borderId="34" xfId="0" applyFont="1" applyBorder="1" applyAlignment="1" applyProtection="1">
      <alignment vertical="center" wrapText="1"/>
    </xf>
    <xf numFmtId="0" fontId="10" fillId="0" borderId="0" xfId="0" applyFont="1"/>
    <xf numFmtId="0" fontId="20" fillId="0" borderId="0" xfId="0" applyFont="1" applyBorder="1"/>
    <xf numFmtId="0" fontId="0" fillId="6" borderId="8" xfId="0" applyFill="1" applyBorder="1"/>
    <xf numFmtId="2" fontId="0" fillId="6" borderId="8" xfId="0" applyNumberFormat="1" applyFill="1" applyBorder="1"/>
    <xf numFmtId="2" fontId="0" fillId="0" borderId="0" xfId="0" applyNumberFormat="1"/>
    <xf numFmtId="0" fontId="20" fillId="0" borderId="8" xfId="0" applyFont="1" applyBorder="1" applyAlignment="1" applyProtection="1">
      <alignment wrapText="1"/>
    </xf>
    <xf numFmtId="0" fontId="20" fillId="0" borderId="0" xfId="0" applyFont="1" applyProtection="1"/>
    <xf numFmtId="0" fontId="24" fillId="0" borderId="0" xfId="0" applyFont="1" applyAlignment="1" applyProtection="1">
      <alignment vertical="top" wrapText="1"/>
    </xf>
    <xf numFmtId="0" fontId="10" fillId="6" borderId="35" xfId="0" applyFont="1" applyFill="1" applyBorder="1" applyProtection="1"/>
    <xf numFmtId="2" fontId="0" fillId="0" borderId="35" xfId="0" applyNumberFormat="1" applyBorder="1"/>
    <xf numFmtId="2" fontId="0" fillId="0" borderId="36" xfId="0" applyNumberFormat="1" applyBorder="1"/>
    <xf numFmtId="0" fontId="10" fillId="6" borderId="6" xfId="0" applyFont="1" applyFill="1" applyBorder="1" applyProtection="1"/>
    <xf numFmtId="2" fontId="0" fillId="0" borderId="6" xfId="0" applyNumberFormat="1" applyBorder="1"/>
    <xf numFmtId="2" fontId="0" fillId="0" borderId="37" xfId="0" applyNumberFormat="1" applyBorder="1"/>
    <xf numFmtId="0" fontId="10" fillId="6" borderId="38" xfId="0" applyFont="1" applyFill="1" applyBorder="1" applyProtection="1"/>
    <xf numFmtId="2" fontId="0" fillId="0" borderId="38" xfId="0" applyNumberFormat="1" applyBorder="1"/>
    <xf numFmtId="2" fontId="0" fillId="0" borderId="39" xfId="0" applyNumberFormat="1" applyBorder="1"/>
    <xf numFmtId="0" fontId="0" fillId="6" borderId="35" xfId="0" applyFill="1" applyBorder="1"/>
    <xf numFmtId="0" fontId="0" fillId="6" borderId="40" xfId="0" applyFill="1" applyBorder="1"/>
    <xf numFmtId="2" fontId="20" fillId="8" borderId="35" xfId="0" applyNumberFormat="1" applyFont="1" applyFill="1" applyBorder="1"/>
    <xf numFmtId="0" fontId="10" fillId="6" borderId="6" xfId="0" applyFont="1" applyFill="1" applyBorder="1" applyAlignment="1" applyProtection="1">
      <alignment horizontal="left" vertical="top" wrapText="1"/>
    </xf>
    <xf numFmtId="0" fontId="6" fillId="2" borderId="41"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6" fillId="2" borderId="43" xfId="0" applyNumberFormat="1" applyFont="1" applyFill="1" applyBorder="1" applyAlignment="1" applyProtection="1">
      <alignment horizontal="center" vertical="center"/>
      <protection locked="0"/>
    </xf>
    <xf numFmtId="0" fontId="6" fillId="0" borderId="44" xfId="0" applyFont="1" applyBorder="1" applyProtection="1"/>
    <xf numFmtId="164" fontId="6" fillId="0" borderId="35" xfId="0" applyNumberFormat="1" applyFont="1" applyFill="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0" fontId="6" fillId="0" borderId="35" xfId="0" applyFont="1" applyFill="1" applyBorder="1" applyAlignment="1" applyProtection="1">
      <alignment horizontal="left" vertical="center"/>
    </xf>
    <xf numFmtId="166" fontId="6" fillId="0" borderId="35" xfId="0" applyNumberFormat="1" applyFont="1" applyFill="1" applyBorder="1" applyAlignment="1" applyProtection="1">
      <alignment horizontal="center" vertical="center"/>
    </xf>
    <xf numFmtId="2" fontId="6" fillId="0" borderId="36" xfId="0" applyNumberFormat="1" applyFont="1" applyFill="1" applyBorder="1" applyAlignment="1" applyProtection="1">
      <alignment horizontal="center" vertical="center"/>
    </xf>
    <xf numFmtId="0" fontId="6" fillId="0" borderId="45" xfId="0" applyFont="1" applyBorder="1" applyProtection="1"/>
    <xf numFmtId="164" fontId="6" fillId="0" borderId="6" xfId="0" applyNumberFormat="1" applyFont="1" applyFill="1" applyBorder="1" applyAlignment="1" applyProtection="1">
      <alignment horizontal="center" vertical="center"/>
    </xf>
    <xf numFmtId="2" fontId="6" fillId="0" borderId="6" xfId="0" applyNumberFormat="1" applyFont="1" applyFill="1" applyBorder="1" applyAlignment="1" applyProtection="1">
      <alignment horizontal="center" vertical="center"/>
    </xf>
    <xf numFmtId="0" fontId="6" fillId="0" borderId="6" xfId="0" applyFont="1" applyFill="1" applyBorder="1" applyAlignment="1" applyProtection="1">
      <alignment horizontal="left" vertical="center"/>
    </xf>
    <xf numFmtId="166" fontId="6" fillId="0" borderId="6" xfId="0" applyNumberFormat="1" applyFont="1" applyFill="1" applyBorder="1" applyAlignment="1" applyProtection="1">
      <alignment horizontal="center" vertical="center"/>
    </xf>
    <xf numFmtId="2" fontId="6" fillId="0" borderId="37" xfId="0" applyNumberFormat="1" applyFont="1" applyFill="1" applyBorder="1" applyAlignment="1" applyProtection="1">
      <alignment horizontal="center" vertical="center"/>
    </xf>
    <xf numFmtId="0" fontId="6" fillId="0" borderId="46" xfId="0" applyFont="1" applyBorder="1" applyProtection="1"/>
    <xf numFmtId="164" fontId="6" fillId="0" borderId="38" xfId="0" applyNumberFormat="1" applyFont="1" applyFill="1" applyBorder="1" applyAlignment="1" applyProtection="1">
      <alignment horizontal="center" vertical="center"/>
    </xf>
    <xf numFmtId="2" fontId="6" fillId="0" borderId="38" xfId="0" applyNumberFormat="1" applyFont="1" applyFill="1" applyBorder="1" applyAlignment="1" applyProtection="1">
      <alignment horizontal="center" vertical="center"/>
    </xf>
    <xf numFmtId="0" fontId="6" fillId="0" borderId="38" xfId="0" applyFont="1" applyFill="1" applyBorder="1" applyAlignment="1" applyProtection="1">
      <alignment horizontal="left" vertical="center"/>
    </xf>
    <xf numFmtId="166" fontId="6" fillId="0" borderId="38" xfId="0" applyNumberFormat="1" applyFont="1" applyFill="1" applyBorder="1" applyAlignment="1" applyProtection="1">
      <alignment horizontal="center" vertical="center"/>
    </xf>
    <xf numFmtId="2" fontId="6" fillId="0" borderId="39" xfId="0" applyNumberFormat="1" applyFont="1" applyFill="1" applyBorder="1" applyAlignment="1" applyProtection="1">
      <alignment horizontal="center" vertical="center"/>
    </xf>
    <xf numFmtId="0" fontId="17" fillId="0" borderId="18" xfId="0" applyFont="1" applyBorder="1" applyAlignment="1" applyProtection="1">
      <alignment vertical="center" wrapText="1"/>
    </xf>
    <xf numFmtId="0" fontId="6" fillId="0" borderId="35" xfId="0" applyFont="1" applyFill="1" applyBorder="1" applyAlignment="1" applyProtection="1">
      <alignment horizontal="center" vertical="center"/>
    </xf>
    <xf numFmtId="164" fontId="6" fillId="0" borderId="36"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164" fontId="6" fillId="0" borderId="37" xfId="0" applyNumberFormat="1"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164" fontId="6" fillId="0" borderId="39" xfId="0" applyNumberFormat="1" applyFont="1" applyFill="1" applyBorder="1" applyAlignment="1" applyProtection="1">
      <alignment horizontal="center" vertical="center"/>
    </xf>
    <xf numFmtId="0" fontId="10" fillId="3" borderId="44" xfId="0" applyNumberFormat="1" applyFont="1" applyFill="1" applyBorder="1" applyAlignment="1" applyProtection="1">
      <alignment horizontal="center" vertical="center" wrapText="1"/>
      <protection locked="0"/>
    </xf>
    <xf numFmtId="0" fontId="10" fillId="3" borderId="35" xfId="0" applyFont="1" applyFill="1" applyBorder="1" applyAlignment="1" applyProtection="1">
      <alignment horizontal="center" vertical="center" wrapText="1"/>
      <protection locked="0"/>
    </xf>
    <xf numFmtId="3" fontId="10" fillId="3" borderId="35" xfId="0" applyNumberFormat="1" applyFont="1" applyFill="1" applyBorder="1" applyAlignment="1" applyProtection="1">
      <alignment horizontal="center" vertical="center" wrapText="1"/>
      <protection locked="0"/>
    </xf>
    <xf numFmtId="166" fontId="10" fillId="0" borderId="35" xfId="0" applyNumberFormat="1" applyFont="1" applyFill="1" applyBorder="1" applyAlignment="1" applyProtection="1">
      <alignment horizontal="center" vertical="center" wrapText="1"/>
    </xf>
    <xf numFmtId="166" fontId="10" fillId="0" borderId="36" xfId="0" applyNumberFormat="1" applyFont="1" applyFill="1" applyBorder="1" applyAlignment="1" applyProtection="1">
      <alignment horizontal="center" vertical="center" wrapText="1"/>
    </xf>
    <xf numFmtId="0" fontId="10" fillId="3" borderId="45" xfId="0" applyNumberFormat="1"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3" fontId="10" fillId="3" borderId="6" xfId="0" applyNumberFormat="1" applyFont="1" applyFill="1" applyBorder="1" applyAlignment="1" applyProtection="1">
      <alignment horizontal="center" vertical="center" wrapText="1"/>
      <protection locked="0"/>
    </xf>
    <xf numFmtId="166" fontId="10" fillId="0" borderId="6" xfId="0" applyNumberFormat="1" applyFont="1" applyFill="1" applyBorder="1" applyAlignment="1" applyProtection="1">
      <alignment horizontal="center" vertical="center" wrapText="1"/>
    </xf>
    <xf numFmtId="166" fontId="10" fillId="0" borderId="37" xfId="0" applyNumberFormat="1" applyFont="1" applyFill="1" applyBorder="1" applyAlignment="1" applyProtection="1">
      <alignment horizontal="center" vertical="center" wrapText="1"/>
    </xf>
    <xf numFmtId="0" fontId="10" fillId="3" borderId="46" xfId="0" applyNumberFormat="1"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3" fontId="10" fillId="3" borderId="38" xfId="0" applyNumberFormat="1" applyFont="1" applyFill="1" applyBorder="1" applyAlignment="1" applyProtection="1">
      <alignment horizontal="center" vertical="center" wrapText="1"/>
      <protection locked="0"/>
    </xf>
    <xf numFmtId="166" fontId="10" fillId="0" borderId="38" xfId="0" applyNumberFormat="1" applyFont="1" applyFill="1" applyBorder="1" applyAlignment="1" applyProtection="1">
      <alignment horizontal="center" vertical="center" wrapText="1"/>
    </xf>
    <xf numFmtId="166" fontId="10" fillId="0" borderId="39" xfId="0" applyNumberFormat="1"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10" fillId="0" borderId="45" xfId="0" applyFont="1" applyFill="1" applyBorder="1" applyAlignment="1" applyProtection="1">
      <alignment horizontal="center"/>
    </xf>
    <xf numFmtId="0" fontId="10" fillId="0" borderId="46" xfId="0" applyFont="1" applyFill="1" applyBorder="1" applyAlignment="1" applyProtection="1">
      <alignment horizontal="center"/>
    </xf>
    <xf numFmtId="0" fontId="10" fillId="0" borderId="44" xfId="0" applyFont="1" applyBorder="1" applyProtection="1"/>
    <xf numFmtId="0" fontId="10" fillId="4" borderId="35" xfId="0" applyFont="1" applyFill="1" applyBorder="1" applyAlignment="1" applyProtection="1">
      <alignment horizontal="center" vertical="center"/>
      <protection locked="0"/>
    </xf>
    <xf numFmtId="0" fontId="10" fillId="4" borderId="36" xfId="0" applyFont="1" applyFill="1" applyBorder="1" applyAlignment="1" applyProtection="1">
      <alignment horizontal="center" vertical="center"/>
      <protection locked="0"/>
    </xf>
    <xf numFmtId="0" fontId="10" fillId="0" borderId="45" xfId="0" applyFont="1" applyBorder="1" applyProtection="1"/>
    <xf numFmtId="0" fontId="14" fillId="2" borderId="6"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10" fillId="4" borderId="37" xfId="0" applyFont="1" applyFill="1" applyBorder="1" applyAlignment="1" applyProtection="1">
      <alignment horizontal="center" vertical="center"/>
      <protection locked="0"/>
    </xf>
    <xf numFmtId="165" fontId="10" fillId="0" borderId="6" xfId="0" applyNumberFormat="1" applyFont="1" applyBorder="1" applyAlignment="1" applyProtection="1">
      <alignment horizontal="center" vertical="center"/>
    </xf>
    <xf numFmtId="165" fontId="10" fillId="0" borderId="37" xfId="0" applyNumberFormat="1" applyFont="1" applyBorder="1" applyAlignment="1" applyProtection="1">
      <alignment horizontal="center" vertical="center"/>
    </xf>
    <xf numFmtId="165" fontId="10" fillId="0" borderId="6"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center" vertical="center"/>
    </xf>
    <xf numFmtId="0" fontId="10" fillId="0" borderId="46" xfId="0" applyFont="1" applyBorder="1" applyProtection="1"/>
    <xf numFmtId="165" fontId="10" fillId="0" borderId="38" xfId="0" applyNumberFormat="1" applyFont="1" applyFill="1" applyBorder="1" applyAlignment="1" applyProtection="1">
      <alignment horizontal="center" vertical="center"/>
    </xf>
    <xf numFmtId="165" fontId="10" fillId="0" borderId="39" xfId="0" applyNumberFormat="1" applyFont="1" applyFill="1" applyBorder="1" applyAlignment="1" applyProtection="1">
      <alignment horizontal="center" vertical="center"/>
    </xf>
    <xf numFmtId="0" fontId="12" fillId="7" borderId="18" xfId="0" applyFont="1" applyFill="1" applyBorder="1" applyAlignment="1" applyProtection="1"/>
    <xf numFmtId="0" fontId="12" fillId="0" borderId="8" xfId="0" applyFont="1" applyBorder="1" applyAlignment="1" applyProtection="1"/>
    <xf numFmtId="0" fontId="10" fillId="3" borderId="6" xfId="0" applyFont="1" applyFill="1" applyBorder="1" applyAlignment="1" applyProtection="1">
      <alignment horizontal="center"/>
      <protection locked="0"/>
    </xf>
    <xf numFmtId="0" fontId="4" fillId="0" borderId="41" xfId="0" applyFont="1" applyBorder="1"/>
    <xf numFmtId="0" fontId="4" fillId="0" borderId="42" xfId="0" applyFont="1" applyBorder="1"/>
    <xf numFmtId="0" fontId="4" fillId="0" borderId="43" xfId="0" applyFont="1" applyBorder="1"/>
    <xf numFmtId="0" fontId="10" fillId="0" borderId="38" xfId="0" applyFont="1" applyBorder="1" applyProtection="1"/>
    <xf numFmtId="164" fontId="10" fillId="0" borderId="38" xfId="0" applyNumberFormat="1" applyFont="1" applyFill="1" applyBorder="1" applyAlignment="1" applyProtection="1">
      <alignment horizontal="center" vertical="center"/>
    </xf>
    <xf numFmtId="0" fontId="10" fillId="0" borderId="6" xfId="0" applyFont="1" applyBorder="1" applyAlignment="1" applyProtection="1">
      <alignment horizontal="left"/>
    </xf>
    <xf numFmtId="164" fontId="10" fillId="0" borderId="6" xfId="0" applyNumberFormat="1" applyFont="1" applyFill="1" applyBorder="1" applyAlignment="1" applyProtection="1">
      <alignment horizontal="center"/>
    </xf>
    <xf numFmtId="164" fontId="10" fillId="0" borderId="37" xfId="0" applyNumberFormat="1" applyFont="1" applyFill="1" applyBorder="1" applyAlignment="1" applyProtection="1">
      <alignment horizontal="center"/>
    </xf>
    <xf numFmtId="164" fontId="10" fillId="0" borderId="38" xfId="0" applyNumberFormat="1" applyFont="1" applyFill="1" applyBorder="1" applyAlignment="1" applyProtection="1">
      <alignment horizontal="center"/>
    </xf>
    <xf numFmtId="164" fontId="10" fillId="0" borderId="39" xfId="0" applyNumberFormat="1" applyFont="1" applyFill="1" applyBorder="1" applyAlignment="1" applyProtection="1">
      <alignment horizontal="center"/>
    </xf>
    <xf numFmtId="0" fontId="20" fillId="0" borderId="0" xfId="0" applyFont="1" applyProtection="1"/>
    <xf numFmtId="0" fontId="21" fillId="0" borderId="15" xfId="0" applyFont="1" applyBorder="1"/>
    <xf numFmtId="0" fontId="10" fillId="0" borderId="38" xfId="0" applyFont="1" applyBorder="1" applyAlignment="1" applyProtection="1">
      <alignment horizontal="center" vertical="center"/>
    </xf>
    <xf numFmtId="0" fontId="3" fillId="2" borderId="7" xfId="0" applyFont="1" applyFill="1" applyBorder="1" applyProtection="1">
      <protection locked="0"/>
    </xf>
    <xf numFmtId="0" fontId="3" fillId="2" borderId="6" xfId="0" applyFont="1" applyFill="1" applyBorder="1" applyProtection="1">
      <protection locked="0"/>
    </xf>
    <xf numFmtId="0" fontId="3" fillId="2" borderId="44" xfId="0" applyFont="1" applyFill="1" applyBorder="1" applyProtection="1">
      <protection locked="0"/>
    </xf>
    <xf numFmtId="0" fontId="3" fillId="2" borderId="36" xfId="0" applyFont="1" applyFill="1" applyBorder="1" applyProtection="1">
      <protection locked="0"/>
    </xf>
    <xf numFmtId="0" fontId="3" fillId="2" borderId="45" xfId="0" applyFont="1" applyFill="1" applyBorder="1" applyProtection="1">
      <protection locked="0"/>
    </xf>
    <xf numFmtId="0" fontId="3" fillId="2" borderId="37" xfId="0" applyFont="1" applyFill="1" applyBorder="1" applyProtection="1">
      <protection locked="0"/>
    </xf>
    <xf numFmtId="0" fontId="3" fillId="2" borderId="46" xfId="0" applyFont="1" applyFill="1" applyBorder="1" applyProtection="1">
      <protection locked="0"/>
    </xf>
    <xf numFmtId="0" fontId="3" fillId="2" borderId="39" xfId="0" applyFont="1" applyFill="1" applyBorder="1" applyProtection="1">
      <protection locked="0"/>
    </xf>
    <xf numFmtId="0" fontId="0" fillId="3" borderId="13" xfId="0" applyFill="1" applyBorder="1" applyProtection="1">
      <protection locked="0"/>
    </xf>
    <xf numFmtId="0" fontId="3" fillId="0" borderId="0" xfId="0" applyFont="1"/>
    <xf numFmtId="0" fontId="3" fillId="6" borderId="0" xfId="0" applyFont="1" applyFill="1" applyAlignment="1">
      <alignment horizontal="left"/>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7" xfId="0" applyFont="1" applyBorder="1" applyAlignment="1">
      <alignment vertical="top" wrapText="1"/>
    </xf>
    <xf numFmtId="0" fontId="3" fillId="0" borderId="0" xfId="0" applyFont="1" applyBorder="1" applyAlignment="1" applyProtection="1">
      <alignment horizontal="left" vertical="center"/>
    </xf>
    <xf numFmtId="0" fontId="4" fillId="0" borderId="18"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3" fillId="6" borderId="0" xfId="0" applyFont="1" applyFill="1" applyAlignment="1">
      <alignment horizontal="center"/>
    </xf>
    <xf numFmtId="0" fontId="4" fillId="0" borderId="12" xfId="0" applyFont="1" applyFill="1" applyBorder="1"/>
    <xf numFmtId="0" fontId="4" fillId="0" borderId="13" xfId="0" applyFont="1" applyFill="1" applyBorder="1"/>
    <xf numFmtId="0" fontId="4" fillId="0" borderId="14" xfId="0" applyFont="1" applyFill="1" applyBorder="1"/>
    <xf numFmtId="0" fontId="6" fillId="0" borderId="16" xfId="1" applyFont="1" applyBorder="1" applyAlignment="1" applyProtection="1">
      <alignment horizontal="left"/>
    </xf>
    <xf numFmtId="0" fontId="6" fillId="0" borderId="17" xfId="1" applyFont="1" applyBorder="1" applyAlignment="1" applyProtection="1">
      <alignment horizontal="left"/>
    </xf>
    <xf numFmtId="0" fontId="6" fillId="0" borderId="4" xfId="1" applyFont="1" applyBorder="1" applyAlignment="1" applyProtection="1">
      <alignment horizontal="left"/>
    </xf>
    <xf numFmtId="0" fontId="4" fillId="0" borderId="15" xfId="0" applyFont="1" applyFill="1" applyBorder="1"/>
    <xf numFmtId="0" fontId="4" fillId="0" borderId="0" xfId="0" applyFont="1" applyFill="1" applyBorder="1"/>
    <xf numFmtId="0" fontId="4" fillId="0" borderId="9" xfId="0" applyFont="1" applyFill="1" applyBorder="1"/>
    <xf numFmtId="0" fontId="3" fillId="0" borderId="0" xfId="0" applyFont="1" applyBorder="1" applyAlignment="1" applyProtection="1">
      <alignment horizontal="left" vertical="top"/>
    </xf>
    <xf numFmtId="0" fontId="3" fillId="5" borderId="22" xfId="0" applyFont="1" applyFill="1" applyBorder="1" applyAlignment="1">
      <alignment horizontal="left" vertical="center" wrapText="1"/>
    </xf>
    <xf numFmtId="0" fontId="3" fillId="5" borderId="22" xfId="0" applyFont="1" applyFill="1" applyBorder="1" applyAlignment="1">
      <alignment horizontal="left" vertical="center"/>
    </xf>
    <xf numFmtId="0" fontId="20" fillId="0" borderId="13" xfId="0" applyFont="1" applyBorder="1"/>
    <xf numFmtId="0" fontId="21" fillId="0" borderId="13" xfId="0" applyFont="1" applyBorder="1"/>
    <xf numFmtId="0" fontId="6" fillId="0" borderId="0" xfId="1" applyFont="1" applyBorder="1" applyAlignment="1" applyProtection="1">
      <alignment horizontal="left" vertical="top" wrapText="1"/>
    </xf>
    <xf numFmtId="0" fontId="21" fillId="0" borderId="0" xfId="0" applyFont="1"/>
    <xf numFmtId="0" fontId="21" fillId="0" borderId="0" xfId="1" applyFont="1" applyBorder="1" applyAlignment="1" applyProtection="1">
      <alignment horizontal="left"/>
    </xf>
    <xf numFmtId="0" fontId="22" fillId="0" borderId="0" xfId="1" applyFont="1" applyAlignment="1" applyProtection="1">
      <alignment horizontal="center"/>
    </xf>
    <xf numFmtId="0" fontId="4" fillId="0" borderId="16" xfId="0" applyFont="1" applyFill="1" applyBorder="1"/>
    <xf numFmtId="0" fontId="4" fillId="0" borderId="17" xfId="0" applyFont="1" applyFill="1" applyBorder="1"/>
    <xf numFmtId="0" fontId="4" fillId="0" borderId="4" xfId="0" applyFont="1" applyFill="1" applyBorder="1"/>
    <xf numFmtId="0" fontId="4" fillId="0" borderId="18" xfId="0" applyFont="1" applyFill="1" applyBorder="1"/>
    <xf numFmtId="0" fontId="4" fillId="0" borderId="20" xfId="0" applyFont="1" applyFill="1" applyBorder="1"/>
    <xf numFmtId="0" fontId="4" fillId="0" borderId="19" xfId="0" applyFont="1" applyFill="1" applyBorder="1"/>
    <xf numFmtId="0" fontId="1" fillId="0" borderId="0" xfId="0" applyFont="1" applyAlignment="1">
      <alignment horizontal="left"/>
    </xf>
    <xf numFmtId="0" fontId="3" fillId="7" borderId="0" xfId="0" applyFont="1" applyFill="1"/>
    <xf numFmtId="0" fontId="3" fillId="0" borderId="0" xfId="0" applyFont="1" applyAlignment="1">
      <alignment horizontal="left"/>
    </xf>
    <xf numFmtId="0" fontId="4" fillId="0" borderId="0" xfId="0" applyFont="1" applyAlignment="1">
      <alignment horizontal="left" vertical="top" wrapText="1"/>
    </xf>
    <xf numFmtId="0" fontId="21" fillId="0" borderId="0" xfId="0" applyFont="1" applyAlignment="1">
      <alignment horizontal="left" vertical="top" wrapText="1"/>
    </xf>
    <xf numFmtId="0" fontId="6" fillId="5" borderId="0" xfId="0" applyFont="1" applyFill="1" applyAlignment="1">
      <alignment horizontal="left" vertical="top" wrapText="1"/>
    </xf>
    <xf numFmtId="0" fontId="20" fillId="0" borderId="0" xfId="0" applyFont="1" applyProtection="1"/>
    <xf numFmtId="0" fontId="12" fillId="7" borderId="0" xfId="0" applyFont="1" applyFill="1" applyProtection="1"/>
    <xf numFmtId="0" fontId="7" fillId="0" borderId="13" xfId="0" applyFont="1" applyBorder="1" applyAlignment="1" applyProtection="1">
      <alignment horizontal="left" vertical="top" wrapText="1"/>
    </xf>
    <xf numFmtId="0" fontId="11" fillId="0" borderId="0" xfId="0" applyFont="1" applyFill="1" applyBorder="1" applyAlignment="1" applyProtection="1">
      <alignment horizontal="left" vertical="top"/>
    </xf>
    <xf numFmtId="0" fontId="3" fillId="5" borderId="17" xfId="0" applyFont="1" applyFill="1" applyBorder="1" applyAlignment="1"/>
    <xf numFmtId="0" fontId="21" fillId="0" borderId="15" xfId="0" applyFont="1" applyBorder="1"/>
    <xf numFmtId="0" fontId="7" fillId="5" borderId="20" xfId="0" applyFont="1" applyFill="1" applyBorder="1" applyAlignment="1" applyProtection="1">
      <alignment horizontal="left"/>
    </xf>
    <xf numFmtId="0" fontId="21" fillId="0" borderId="20" xfId="0" applyFont="1" applyBorder="1"/>
    <xf numFmtId="0" fontId="20" fillId="0" borderId="15" xfId="0" applyFont="1" applyBorder="1" applyProtection="1"/>
    <xf numFmtId="0" fontId="13" fillId="0" borderId="0" xfId="0" applyFont="1" applyBorder="1" applyProtection="1"/>
    <xf numFmtId="0" fontId="20" fillId="0" borderId="0" xfId="0" applyFont="1"/>
    <xf numFmtId="0" fontId="20" fillId="0" borderId="3" xfId="0" applyFont="1" applyBorder="1" applyProtection="1"/>
    <xf numFmtId="0" fontId="20" fillId="0" borderId="1" xfId="0" applyFont="1" applyBorder="1" applyProtection="1"/>
    <xf numFmtId="0" fontId="20" fillId="0" borderId="40" xfId="0" applyFont="1" applyBorder="1" applyProtection="1"/>
    <xf numFmtId="0" fontId="20" fillId="0" borderId="47" xfId="0" applyFont="1" applyBorder="1" applyProtection="1"/>
    <xf numFmtId="0" fontId="12" fillId="7" borderId="0" xfId="0" applyFont="1" applyFill="1" applyAlignment="1" applyProtection="1">
      <alignment horizontal="left" vertical="top" wrapText="1"/>
    </xf>
    <xf numFmtId="0" fontId="16" fillId="0" borderId="0" xfId="0" applyFont="1"/>
    <xf numFmtId="0" fontId="0" fillId="0" borderId="0" xfId="0" applyAlignment="1">
      <alignment horizontal="left" vertical="top" wrapText="1"/>
    </xf>
    <xf numFmtId="0" fontId="12" fillId="7" borderId="0" xfId="0" applyFont="1" applyFill="1" applyAlignment="1" applyProtection="1">
      <alignment vertical="top" wrapText="1"/>
    </xf>
    <xf numFmtId="0" fontId="19" fillId="0" borderId="0" xfId="0" applyFont="1" applyFill="1" applyBorder="1" applyAlignment="1" applyProtection="1">
      <alignment horizontal="left"/>
    </xf>
    <xf numFmtId="0" fontId="20" fillId="0" borderId="15" xfId="0" applyFont="1" applyBorder="1" applyAlignment="1">
      <alignment horizontal="center"/>
    </xf>
    <xf numFmtId="0" fontId="20" fillId="0" borderId="0" xfId="0" applyFont="1" applyAlignment="1">
      <alignment horizontal="center"/>
    </xf>
    <xf numFmtId="0" fontId="20" fillId="0" borderId="15" xfId="0" applyFont="1" applyBorder="1"/>
    <xf numFmtId="0" fontId="12" fillId="7" borderId="0" xfId="0" applyFont="1" applyFill="1" applyBorder="1" applyAlignment="1" applyProtection="1">
      <alignment horizontal="left"/>
    </xf>
    <xf numFmtId="0" fontId="16" fillId="6" borderId="0" xfId="0" applyFont="1" applyFill="1" applyAlignment="1">
      <alignment horizontal="left" vertical="top" wrapText="1"/>
    </xf>
    <xf numFmtId="0" fontId="7" fillId="0" borderId="0" xfId="0" applyFont="1" applyAlignment="1" applyProtection="1">
      <alignment horizontal="left"/>
    </xf>
    <xf numFmtId="0" fontId="20" fillId="0" borderId="0" xfId="0" applyFont="1" applyAlignment="1" applyProtection="1">
      <alignment horizontal="left" vertical="center"/>
    </xf>
    <xf numFmtId="0" fontId="10" fillId="0" borderId="0" xfId="0" applyFont="1" applyAlignment="1" applyProtection="1">
      <alignment horizontal="left" vertical="center"/>
    </xf>
    <xf numFmtId="0" fontId="20" fillId="0" borderId="0" xfId="0" applyFont="1" applyAlignment="1" applyProtection="1">
      <alignment horizontal="center" vertical="center"/>
    </xf>
    <xf numFmtId="0" fontId="10" fillId="0" borderId="0" xfId="0" applyFont="1" applyAlignment="1" applyProtection="1">
      <alignment horizontal="center" vertical="center"/>
    </xf>
    <xf numFmtId="0" fontId="16" fillId="0" borderId="0" xfId="0" applyFont="1" applyAlignment="1">
      <alignment horizontal="left" vertical="top" wrapText="1"/>
    </xf>
    <xf numFmtId="0" fontId="20" fillId="0" borderId="0" xfId="0" applyFont="1" applyBorder="1" applyProtection="1"/>
    <xf numFmtId="0" fontId="6" fillId="0" borderId="30" xfId="0" applyFont="1" applyBorder="1" applyAlignment="1" applyProtection="1">
      <alignment horizontal="left"/>
    </xf>
    <xf numFmtId="0" fontId="6" fillId="0" borderId="17" xfId="0" applyFont="1" applyBorder="1" applyAlignment="1" applyProtection="1">
      <alignment horizontal="left"/>
    </xf>
    <xf numFmtId="0" fontId="6" fillId="0" borderId="4" xfId="0" applyFont="1" applyBorder="1" applyAlignment="1" applyProtection="1">
      <alignment horizontal="left"/>
    </xf>
    <xf numFmtId="0" fontId="6" fillId="0" borderId="29" xfId="0" applyFont="1" applyBorder="1" applyAlignment="1" applyProtection="1"/>
    <xf numFmtId="0" fontId="6" fillId="0" borderId="0" xfId="0" applyFont="1" applyBorder="1" applyAlignment="1" applyProtection="1"/>
    <xf numFmtId="0" fontId="6" fillId="0" borderId="41" xfId="0" applyFont="1" applyBorder="1" applyProtection="1"/>
    <xf numFmtId="0" fontId="6" fillId="0" borderId="42" xfId="0" applyFont="1" applyBorder="1" applyProtection="1"/>
    <xf numFmtId="0" fontId="6" fillId="0" borderId="42" xfId="0" applyFont="1" applyBorder="1" applyAlignment="1" applyProtection="1"/>
    <xf numFmtId="0" fontId="6" fillId="0" borderId="43" xfId="0" applyFont="1" applyBorder="1" applyAlignment="1" applyProtection="1">
      <alignment horizontal="left"/>
    </xf>
    <xf numFmtId="0" fontId="17" fillId="7" borderId="24" xfId="0" applyFont="1" applyFill="1" applyBorder="1" applyProtection="1"/>
    <xf numFmtId="0" fontId="17" fillId="7" borderId="25" xfId="0" applyFont="1" applyFill="1" applyBorder="1" applyProtection="1"/>
    <xf numFmtId="0" fontId="17" fillId="7" borderId="26" xfId="0" applyFont="1" applyFill="1" applyBorder="1" applyProtection="1"/>
    <xf numFmtId="0" fontId="17" fillId="0" borderId="31" xfId="0" applyFont="1" applyFill="1" applyBorder="1" applyAlignment="1" applyProtection="1">
      <alignment horizontal="left" vertical="center"/>
    </xf>
    <xf numFmtId="0" fontId="17" fillId="0" borderId="20" xfId="0" applyFont="1" applyFill="1" applyBorder="1" applyAlignment="1" applyProtection="1">
      <alignment horizontal="left" vertical="center"/>
    </xf>
    <xf numFmtId="0" fontId="6" fillId="0" borderId="0" xfId="0" applyFont="1" applyAlignment="1" applyProtection="1">
      <alignment horizontal="left" vertical="top" wrapText="1"/>
    </xf>
    <xf numFmtId="0" fontId="21" fillId="0" borderId="0" xfId="0" applyFont="1" applyAlignment="1" applyProtection="1">
      <alignment horizontal="left" vertical="top" wrapText="1"/>
    </xf>
    <xf numFmtId="0" fontId="21" fillId="0" borderId="17" xfId="0" applyFont="1" applyBorder="1" applyProtection="1"/>
    <xf numFmtId="0" fontId="21" fillId="0" borderId="32" xfId="0" applyFont="1" applyBorder="1" applyProtection="1"/>
    <xf numFmtId="0" fontId="21" fillId="0" borderId="13" xfId="0" applyFont="1" applyBorder="1" applyProtection="1"/>
    <xf numFmtId="0" fontId="17" fillId="0" borderId="0" xfId="0" applyFont="1" applyBorder="1" applyAlignment="1" applyProtection="1">
      <alignment horizontal="left"/>
    </xf>
    <xf numFmtId="0" fontId="17" fillId="0" borderId="28" xfId="0" applyFont="1" applyBorder="1" applyAlignment="1" applyProtection="1">
      <alignment horizontal="left"/>
    </xf>
    <xf numFmtId="0" fontId="21" fillId="0" borderId="15" xfId="0" applyFont="1" applyBorder="1" applyProtection="1"/>
    <xf numFmtId="0" fontId="21" fillId="0" borderId="0" xfId="0" applyFont="1" applyBorder="1" applyProtection="1"/>
    <xf numFmtId="0" fontId="21" fillId="0" borderId="28" xfId="0" applyFont="1" applyBorder="1" applyProtection="1"/>
    <xf numFmtId="0" fontId="17" fillId="0" borderId="29"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28" xfId="0" applyFont="1" applyFill="1" applyBorder="1" applyAlignment="1" applyProtection="1">
      <alignment horizontal="left" vertical="top" wrapText="1"/>
    </xf>
    <xf numFmtId="0" fontId="3" fillId="0" borderId="29" xfId="0" applyFont="1" applyBorder="1"/>
    <xf numFmtId="0" fontId="3" fillId="0" borderId="0" xfId="0" applyFont="1" applyBorder="1"/>
    <xf numFmtId="0" fontId="3" fillId="0" borderId="28" xfId="0" applyFont="1" applyBorder="1"/>
    <xf numFmtId="0" fontId="6" fillId="0" borderId="0" xfId="0" applyFont="1" applyFill="1" applyBorder="1" applyAlignment="1" applyProtection="1">
      <alignment vertical="center" wrapText="1"/>
    </xf>
    <xf numFmtId="0" fontId="6" fillId="0" borderId="28" xfId="0" applyFont="1" applyFill="1" applyBorder="1" applyAlignment="1" applyProtection="1">
      <alignment vertical="center" wrapText="1"/>
    </xf>
    <xf numFmtId="0" fontId="6" fillId="0" borderId="27"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14" xfId="0" applyFont="1" applyBorder="1" applyAlignment="1" applyProtection="1">
      <alignment vertical="center" wrapText="1"/>
    </xf>
    <xf numFmtId="0" fontId="21" fillId="0" borderId="15" xfId="0" applyFont="1" applyBorder="1" applyAlignment="1">
      <alignment horizontal="left" vertical="top"/>
    </xf>
    <xf numFmtId="0" fontId="21" fillId="0" borderId="28" xfId="0" applyFont="1" applyBorder="1" applyAlignment="1">
      <alignment horizontal="left" vertical="top"/>
    </xf>
    <xf numFmtId="0" fontId="6" fillId="0" borderId="35" xfId="0" applyFont="1" applyFill="1" applyBorder="1" applyProtection="1"/>
    <xf numFmtId="0" fontId="6" fillId="0" borderId="6" xfId="0" applyFont="1" applyFill="1" applyBorder="1" applyProtection="1"/>
    <xf numFmtId="0" fontId="6" fillId="0" borderId="6" xfId="0" applyFont="1" applyFill="1" applyBorder="1" applyAlignment="1" applyProtection="1"/>
    <xf numFmtId="0" fontId="21" fillId="0" borderId="3" xfId="0" applyFont="1" applyBorder="1"/>
    <xf numFmtId="0" fontId="21" fillId="0" borderId="33" xfId="0" applyFont="1" applyBorder="1"/>
    <xf numFmtId="0" fontId="21" fillId="0" borderId="1" xfId="0" applyFont="1" applyBorder="1"/>
    <xf numFmtId="0" fontId="6" fillId="0" borderId="20" xfId="0" applyFont="1" applyBorder="1" applyAlignment="1" applyProtection="1">
      <alignment horizontal="left" vertical="top" wrapText="1"/>
    </xf>
    <xf numFmtId="0" fontId="21" fillId="0" borderId="29" xfId="0" applyFont="1" applyBorder="1" applyAlignment="1" applyProtection="1">
      <alignment vertical="center"/>
    </xf>
    <xf numFmtId="0" fontId="21" fillId="0" borderId="0" xfId="0" applyFont="1" applyBorder="1" applyAlignment="1" applyProtection="1">
      <alignment vertical="center"/>
    </xf>
    <xf numFmtId="0" fontId="21" fillId="0" borderId="28" xfId="0" applyFont="1" applyBorder="1" applyAlignment="1" applyProtection="1">
      <alignment vertical="center"/>
    </xf>
    <xf numFmtId="0" fontId="21" fillId="0" borderId="15"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28" xfId="0" applyFont="1" applyFill="1" applyBorder="1" applyAlignment="1" applyProtection="1">
      <alignment horizontal="left" vertical="top"/>
      <protection locked="0"/>
    </xf>
    <xf numFmtId="0" fontId="6" fillId="0" borderId="38" xfId="0" applyFont="1" applyFill="1" applyBorder="1" applyAlignment="1" applyProtection="1"/>
    <xf numFmtId="0" fontId="20" fillId="0" borderId="17" xfId="0" applyFont="1" applyBorder="1"/>
    <xf numFmtId="0" fontId="23" fillId="0" borderId="0" xfId="0" applyFont="1" applyAlignment="1">
      <alignment horizontal="left"/>
    </xf>
  </cellXfs>
  <cellStyles count="2">
    <cellStyle name="Hyperlink" xfId="1" builtinId="8"/>
    <cellStyle name="Normal" xfId="0" builtinId="0"/>
  </cellStyles>
  <dxfs count="13">
    <dxf>
      <numFmt numFmtId="167" formatCode="0.000E+00"/>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4D5BE"/>
      <color rgb="FFDFD6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HARRIS\AppData\Local\Microsoft\Windows\INetCache\Content.Outlook\KTVH5E17\Updated%20Calcs%20-%20Hot%20Mix%20Asphalt%20(11-23-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tanfor\Desktop\Updated%20Calcs%20-%20Hot%20Mix%20Asphalt%20(11-23-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and Schedule"/>
      <sheetName val="Dryer Emissions"/>
      <sheetName val="Cold Mix &amp; Lime Silo"/>
      <sheetName val="Material Handling"/>
      <sheetName val="Stockpiles"/>
      <sheetName val="Load Out and Heater"/>
      <sheetName val="Summary Table"/>
      <sheetName val="References"/>
      <sheetName val="List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4">
          <cell r="E24" t="str">
            <v>Use Chapter 1 External Combustion Sources CO Factor</v>
          </cell>
        </row>
        <row r="25">
          <cell r="E25" t="str">
            <v>Use Chapter 11.1 Hot Mix Asphalt Plants CO Factor</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ion and Schedule"/>
      <sheetName val="Dryer Emissions"/>
      <sheetName val="Cold Mix &amp; Lime Silo"/>
      <sheetName val="Material Handling"/>
      <sheetName val="Stockpiles"/>
      <sheetName val="Load Out and Heater"/>
      <sheetName val="Summary Table"/>
      <sheetName val="References"/>
      <sheetName val="Lists"/>
      <sheetName val="Notes"/>
    </sheetNames>
    <sheetDataSet>
      <sheetData sheetId="0"/>
      <sheetData sheetId="1"/>
      <sheetData sheetId="2"/>
      <sheetData sheetId="3"/>
      <sheetData sheetId="4"/>
      <sheetData sheetId="5"/>
      <sheetData sheetId="6"/>
      <sheetData sheetId="7"/>
      <sheetData sheetId="8">
        <row r="2">
          <cell r="D2" t="str">
            <v>Natural Gas or LPG</v>
          </cell>
        </row>
        <row r="3">
          <cell r="D3" t="str">
            <v>No. 2 Fuel Oil</v>
          </cell>
          <cell r="E3" t="str">
            <v>Drum Mix Plant</v>
          </cell>
        </row>
        <row r="4">
          <cell r="D4" t="str">
            <v>Waste Oil</v>
          </cell>
          <cell r="E4" t="str">
            <v>Batch Mix (Pug Mill)</v>
          </cell>
          <cell r="L4">
            <v>1</v>
          </cell>
        </row>
        <row r="5">
          <cell r="D5" t="str">
            <v>NG, LPG, No. 2, or WO</v>
          </cell>
          <cell r="L5">
            <v>2</v>
          </cell>
        </row>
        <row r="6">
          <cell r="L6">
            <v>3</v>
          </cell>
        </row>
        <row r="7">
          <cell r="L7">
            <v>4</v>
          </cell>
        </row>
        <row r="8">
          <cell r="D8" t="str">
            <v>Fabric Filter</v>
          </cell>
          <cell r="L8">
            <v>5</v>
          </cell>
        </row>
        <row r="9">
          <cell r="D9" t="str">
            <v>Wet Scrubber</v>
          </cell>
          <cell r="L9">
            <v>6</v>
          </cell>
        </row>
        <row r="10">
          <cell r="L10">
            <v>7</v>
          </cell>
        </row>
        <row r="11">
          <cell r="L11">
            <v>8</v>
          </cell>
        </row>
        <row r="12">
          <cell r="L12">
            <v>9</v>
          </cell>
        </row>
        <row r="13">
          <cell r="L13">
            <v>10</v>
          </cell>
        </row>
        <row r="14">
          <cell r="L14">
            <v>11</v>
          </cell>
        </row>
        <row r="15">
          <cell r="D15" t="str">
            <v>Yes</v>
          </cell>
          <cell r="E15" t="str">
            <v>Yes</v>
          </cell>
          <cell r="L15">
            <v>12</v>
          </cell>
        </row>
        <row r="16">
          <cell r="D16" t="str">
            <v>No</v>
          </cell>
          <cell r="E16" t="str">
            <v>No</v>
          </cell>
          <cell r="L16">
            <v>13</v>
          </cell>
        </row>
        <row r="17">
          <cell r="L17">
            <v>14</v>
          </cell>
        </row>
        <row r="18">
          <cell r="H18" t="str">
            <v>Transfer/Drop Point</v>
          </cell>
          <cell r="L18">
            <v>15</v>
          </cell>
        </row>
        <row r="19">
          <cell r="H19" t="str">
            <v>Screen</v>
          </cell>
          <cell r="L19">
            <v>16</v>
          </cell>
        </row>
        <row r="20">
          <cell r="H20" t="str">
            <v>Crusher</v>
          </cell>
          <cell r="L20">
            <v>17</v>
          </cell>
        </row>
        <row r="21">
          <cell r="L21">
            <v>18</v>
          </cell>
        </row>
        <row r="22">
          <cell r="L22">
            <v>19</v>
          </cell>
        </row>
        <row r="23">
          <cell r="L23">
            <v>20</v>
          </cell>
        </row>
        <row r="24">
          <cell r="E24" t="str">
            <v>Use Chapter 1 External Combustion Sources CO Factor</v>
          </cell>
        </row>
        <row r="25">
          <cell r="E25" t="str">
            <v>Use Chapter 11.1 Hot Mix Asphalt Plants CO Factor</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42C4-4CA6-415D-8976-453068165AF0}">
  <sheetPr codeName="Sheet1">
    <pageSetUpPr fitToPage="1"/>
  </sheetPr>
  <dimension ref="A1:M36"/>
  <sheetViews>
    <sheetView tabSelected="1" workbookViewId="0">
      <selection sqref="A1:I1"/>
    </sheetView>
  </sheetViews>
  <sheetFormatPr defaultColWidth="0" defaultRowHeight="15" zeroHeight="1" x14ac:dyDescent="0.25"/>
  <cols>
    <col min="1" max="8" width="9.140625" customWidth="1"/>
    <col min="9" max="9" width="19.7109375" customWidth="1"/>
    <col min="10" max="10" width="9.140625" hidden="1" customWidth="1"/>
    <col min="11" max="13" width="0" hidden="1" customWidth="1"/>
    <col min="14" max="16384" width="9.140625" hidden="1"/>
  </cols>
  <sheetData>
    <row r="1" spans="1:13" x14ac:dyDescent="0.25">
      <c r="A1" s="185" t="s">
        <v>131</v>
      </c>
      <c r="B1" s="185"/>
      <c r="C1" s="185"/>
      <c r="D1" s="185"/>
      <c r="E1" s="185"/>
      <c r="F1" s="185"/>
      <c r="G1" s="185"/>
      <c r="H1" s="185"/>
      <c r="I1" s="185"/>
      <c r="J1" s="1"/>
      <c r="K1" s="1"/>
      <c r="L1" s="1"/>
      <c r="M1" s="1"/>
    </row>
    <row r="2" spans="1:13" x14ac:dyDescent="0.25">
      <c r="A2" s="186" t="s">
        <v>230</v>
      </c>
      <c r="B2" s="186"/>
      <c r="C2" s="186"/>
      <c r="D2" s="186"/>
      <c r="E2" s="186"/>
      <c r="F2" s="186"/>
      <c r="G2" s="186"/>
      <c r="H2" s="186"/>
      <c r="I2" s="186"/>
      <c r="J2" s="1"/>
      <c r="K2" s="1"/>
      <c r="L2" s="1"/>
      <c r="M2" s="1"/>
    </row>
    <row r="3" spans="1:13" ht="33.75" customHeight="1" x14ac:dyDescent="0.25">
      <c r="A3" s="205" t="s">
        <v>231</v>
      </c>
      <c r="B3" s="206"/>
      <c r="C3" s="206"/>
      <c r="D3" s="206"/>
      <c r="E3" s="206"/>
      <c r="F3" s="206"/>
      <c r="G3" s="206"/>
      <c r="H3" s="206"/>
      <c r="I3" s="206"/>
      <c r="J3" s="1"/>
      <c r="K3" s="1"/>
      <c r="L3" s="1"/>
      <c r="M3" s="1"/>
    </row>
    <row r="4" spans="1:13" ht="96" customHeight="1" x14ac:dyDescent="0.25">
      <c r="A4" s="187" t="s">
        <v>229</v>
      </c>
      <c r="B4" s="188"/>
      <c r="C4" s="188"/>
      <c r="D4" s="188"/>
      <c r="E4" s="188"/>
      <c r="F4" s="188"/>
      <c r="G4" s="188"/>
      <c r="H4" s="188"/>
      <c r="I4" s="189"/>
      <c r="J4" s="1"/>
      <c r="K4" s="1"/>
      <c r="L4" s="1"/>
      <c r="M4" s="1"/>
    </row>
    <row r="5" spans="1:13" x14ac:dyDescent="0.25">
      <c r="A5" s="194" t="s">
        <v>0</v>
      </c>
      <c r="B5" s="194"/>
      <c r="C5" s="194"/>
      <c r="D5" s="194"/>
      <c r="E5" s="194"/>
      <c r="F5" s="194"/>
      <c r="G5" s="194"/>
      <c r="H5" s="194"/>
      <c r="I5" s="194"/>
      <c r="J5" s="1"/>
      <c r="K5" s="1"/>
      <c r="L5" s="1"/>
      <c r="M5" s="1"/>
    </row>
    <row r="6" spans="1:13" ht="15.75" thickBot="1" x14ac:dyDescent="0.3">
      <c r="A6" s="190" t="s">
        <v>1</v>
      </c>
      <c r="B6" s="190"/>
      <c r="C6" s="190"/>
      <c r="D6" s="190"/>
      <c r="E6" s="190"/>
      <c r="F6" s="190"/>
      <c r="G6" s="190"/>
      <c r="H6" s="190"/>
      <c r="I6" s="190"/>
      <c r="J6" s="1"/>
      <c r="K6" s="1"/>
      <c r="L6" s="1"/>
      <c r="M6" s="1"/>
    </row>
    <row r="7" spans="1:13" x14ac:dyDescent="0.25">
      <c r="A7" s="195" t="s">
        <v>12</v>
      </c>
      <c r="B7" s="196"/>
      <c r="C7" s="196"/>
      <c r="D7" s="196"/>
      <c r="E7" s="196"/>
      <c r="F7" s="196"/>
      <c r="G7" s="196"/>
      <c r="H7" s="196"/>
      <c r="I7" s="197"/>
      <c r="J7" s="1"/>
      <c r="K7" s="1"/>
      <c r="L7" s="1"/>
      <c r="M7" s="1"/>
    </row>
    <row r="8" spans="1:13" ht="15.75" thickBot="1" x14ac:dyDescent="0.3">
      <c r="A8" s="198" t="s">
        <v>13</v>
      </c>
      <c r="B8" s="199"/>
      <c r="C8" s="199"/>
      <c r="D8" s="199"/>
      <c r="E8" s="199"/>
      <c r="F8" s="199"/>
      <c r="G8" s="199"/>
      <c r="H8" s="199"/>
      <c r="I8" s="200"/>
      <c r="J8" s="1"/>
      <c r="K8" s="1"/>
      <c r="L8" s="1"/>
      <c r="M8" s="1"/>
    </row>
    <row r="9" spans="1:13" x14ac:dyDescent="0.25">
      <c r="A9" s="210" t="s">
        <v>166</v>
      </c>
      <c r="B9" s="210"/>
      <c r="C9" s="210"/>
      <c r="D9" s="210"/>
      <c r="E9" s="210"/>
      <c r="F9" s="210"/>
      <c r="G9" s="210"/>
      <c r="H9" s="210"/>
      <c r="I9" s="210"/>
      <c r="J9" s="1"/>
      <c r="K9" s="1"/>
      <c r="L9" s="1"/>
      <c r="M9" s="1"/>
    </row>
    <row r="10" spans="1:13" ht="57" customHeight="1" x14ac:dyDescent="0.25">
      <c r="A10" s="209" t="s">
        <v>2</v>
      </c>
      <c r="B10" s="209"/>
      <c r="C10" s="209"/>
      <c r="D10" s="209"/>
      <c r="E10" s="209"/>
      <c r="F10" s="209"/>
      <c r="G10" s="209"/>
      <c r="H10" s="209"/>
      <c r="I10" s="209"/>
      <c r="J10" s="1"/>
      <c r="K10" s="1"/>
      <c r="L10" s="1"/>
      <c r="M10" s="1"/>
    </row>
    <row r="11" spans="1:13" x14ac:dyDescent="0.25">
      <c r="A11" s="211" t="s">
        <v>166</v>
      </c>
      <c r="B11" s="211"/>
      <c r="C11" s="211"/>
      <c r="D11" s="211"/>
      <c r="E11" s="211"/>
      <c r="F11" s="211"/>
      <c r="G11" s="211"/>
      <c r="H11" s="211"/>
      <c r="I11" s="211"/>
      <c r="J11" s="1"/>
      <c r="K11" s="1"/>
      <c r="L11" s="1"/>
      <c r="M11" s="1"/>
    </row>
    <row r="12" spans="1:13" ht="15.75" thickBot="1" x14ac:dyDescent="0.3">
      <c r="A12" s="190" t="s">
        <v>3</v>
      </c>
      <c r="B12" s="190"/>
      <c r="C12" s="190"/>
      <c r="D12" s="190"/>
      <c r="E12" s="190"/>
      <c r="F12" s="190"/>
      <c r="G12" s="190"/>
      <c r="H12" s="190"/>
      <c r="I12" s="190"/>
      <c r="J12" s="1"/>
      <c r="K12" s="1"/>
      <c r="L12" s="1"/>
      <c r="M12" s="1"/>
    </row>
    <row r="13" spans="1:13" x14ac:dyDescent="0.25">
      <c r="A13" s="195" t="s">
        <v>14</v>
      </c>
      <c r="B13" s="196"/>
      <c r="C13" s="196"/>
      <c r="D13" s="196"/>
      <c r="E13" s="196"/>
      <c r="F13" s="196"/>
      <c r="G13" s="196"/>
      <c r="H13" s="196"/>
      <c r="I13" s="197"/>
      <c r="J13" s="1"/>
      <c r="K13" s="1"/>
      <c r="L13" s="1"/>
      <c r="M13" s="1"/>
    </row>
    <row r="14" spans="1:13" x14ac:dyDescent="0.25">
      <c r="A14" s="201" t="s">
        <v>15</v>
      </c>
      <c r="B14" s="202"/>
      <c r="C14" s="202"/>
      <c r="D14" s="202"/>
      <c r="E14" s="202"/>
      <c r="F14" s="202"/>
      <c r="G14" s="202"/>
      <c r="H14" s="202"/>
      <c r="I14" s="203"/>
      <c r="J14" s="1"/>
      <c r="K14" s="1"/>
      <c r="L14" s="1"/>
      <c r="M14" s="1"/>
    </row>
    <row r="15" spans="1:13" x14ac:dyDescent="0.25">
      <c r="A15" s="201" t="s">
        <v>16</v>
      </c>
      <c r="B15" s="202"/>
      <c r="C15" s="202"/>
      <c r="D15" s="202"/>
      <c r="E15" s="202"/>
      <c r="F15" s="202"/>
      <c r="G15" s="202"/>
      <c r="H15" s="202"/>
      <c r="I15" s="203"/>
      <c r="J15" s="1"/>
      <c r="K15" s="1"/>
      <c r="L15" s="1"/>
      <c r="M15" s="1"/>
    </row>
    <row r="16" spans="1:13" x14ac:dyDescent="0.25">
      <c r="A16" s="201" t="s">
        <v>17</v>
      </c>
      <c r="B16" s="202"/>
      <c r="C16" s="202"/>
      <c r="D16" s="202"/>
      <c r="E16" s="202"/>
      <c r="F16" s="202"/>
      <c r="G16" s="202"/>
      <c r="H16" s="202"/>
      <c r="I16" s="203"/>
      <c r="J16" s="1"/>
      <c r="K16" s="1"/>
      <c r="L16" s="1"/>
      <c r="M16" s="1"/>
    </row>
    <row r="17" spans="1:13" ht="15.75" thickBot="1" x14ac:dyDescent="0.3">
      <c r="A17" s="213" t="s">
        <v>12</v>
      </c>
      <c r="B17" s="214"/>
      <c r="C17" s="214"/>
      <c r="D17" s="214"/>
      <c r="E17" s="214"/>
      <c r="F17" s="214"/>
      <c r="G17" s="214"/>
      <c r="H17" s="214"/>
      <c r="I17" s="215"/>
      <c r="J17" s="1"/>
      <c r="K17" s="1"/>
      <c r="L17" s="1"/>
      <c r="M17" s="1"/>
    </row>
    <row r="18" spans="1:13" x14ac:dyDescent="0.25">
      <c r="A18" s="212" t="s">
        <v>166</v>
      </c>
      <c r="B18" s="212"/>
      <c r="C18" s="212"/>
      <c r="D18" s="212"/>
      <c r="E18" s="212"/>
      <c r="F18" s="212"/>
      <c r="G18" s="212"/>
      <c r="H18" s="212"/>
      <c r="I18" s="212"/>
      <c r="J18" s="1"/>
      <c r="K18" s="1"/>
      <c r="L18" s="1"/>
      <c r="M18" s="1"/>
    </row>
    <row r="19" spans="1:13" ht="15.75" thickBot="1" x14ac:dyDescent="0.3">
      <c r="A19" s="204" t="s">
        <v>4</v>
      </c>
      <c r="B19" s="204"/>
      <c r="C19" s="204"/>
      <c r="D19" s="204"/>
      <c r="E19" s="204"/>
      <c r="F19" s="204"/>
      <c r="G19" s="204"/>
      <c r="H19" s="204"/>
      <c r="I19" s="204"/>
      <c r="J19" s="1"/>
      <c r="K19" s="1"/>
      <c r="L19" s="1"/>
      <c r="M19" s="1"/>
    </row>
    <row r="20" spans="1:13" ht="15.75" thickBot="1" x14ac:dyDescent="0.3">
      <c r="A20" s="216" t="s">
        <v>5</v>
      </c>
      <c r="B20" s="217"/>
      <c r="C20" s="217"/>
      <c r="D20" s="217"/>
      <c r="E20" s="217"/>
      <c r="F20" s="217"/>
      <c r="G20" s="217"/>
      <c r="H20" s="217"/>
      <c r="I20" s="218"/>
      <c r="J20" s="1"/>
      <c r="K20" s="1"/>
      <c r="L20" s="1"/>
      <c r="M20" s="1"/>
    </row>
    <row r="21" spans="1:13" x14ac:dyDescent="0.25">
      <c r="A21" s="210" t="s">
        <v>166</v>
      </c>
      <c r="B21" s="210"/>
      <c r="C21" s="210"/>
      <c r="D21" s="210"/>
      <c r="E21" s="210"/>
      <c r="F21" s="210"/>
      <c r="G21" s="210"/>
      <c r="H21" s="210"/>
      <c r="I21" s="210"/>
      <c r="J21" s="1"/>
      <c r="K21" s="1"/>
      <c r="L21" s="1"/>
      <c r="M21" s="1"/>
    </row>
    <row r="22" spans="1:13" ht="15.75" thickBot="1" x14ac:dyDescent="0.3">
      <c r="A22" s="204" t="s">
        <v>6</v>
      </c>
      <c r="B22" s="204"/>
      <c r="C22" s="204"/>
      <c r="D22" s="204"/>
      <c r="E22" s="204"/>
      <c r="F22" s="204"/>
      <c r="G22" s="204"/>
      <c r="H22" s="204"/>
      <c r="I22" s="204"/>
      <c r="J22" s="1"/>
      <c r="K22" s="1"/>
      <c r="L22" s="1"/>
      <c r="M22" s="1"/>
    </row>
    <row r="23" spans="1:13" ht="45" customHeight="1" thickBot="1" x14ac:dyDescent="0.3">
      <c r="A23" s="191" t="s">
        <v>7</v>
      </c>
      <c r="B23" s="192"/>
      <c r="C23" s="192"/>
      <c r="D23" s="192"/>
      <c r="E23" s="192"/>
      <c r="F23" s="192"/>
      <c r="G23" s="192"/>
      <c r="H23" s="192"/>
      <c r="I23" s="193"/>
      <c r="J23" s="14"/>
      <c r="K23" s="14"/>
      <c r="L23" s="1"/>
      <c r="M23" s="1"/>
    </row>
    <row r="24" spans="1:13" s="35" customFormat="1" ht="15" customHeight="1" x14ac:dyDescent="0.2">
      <c r="A24" s="208" t="s">
        <v>166</v>
      </c>
      <c r="B24" s="208"/>
      <c r="C24" s="208"/>
      <c r="D24" s="208"/>
      <c r="E24" s="208"/>
      <c r="F24" s="208"/>
      <c r="G24" s="208"/>
      <c r="H24" s="208"/>
      <c r="I24" s="208"/>
    </row>
    <row r="25" spans="1:13" ht="15.75" thickBot="1" x14ac:dyDescent="0.3">
      <c r="A25" s="204" t="s">
        <v>8</v>
      </c>
      <c r="B25" s="204"/>
      <c r="C25" s="204"/>
      <c r="D25" s="204"/>
      <c r="E25" s="204"/>
      <c r="F25" s="204"/>
      <c r="G25" s="204"/>
      <c r="H25" s="204"/>
      <c r="I25" s="204"/>
      <c r="J25" s="2"/>
      <c r="K25" s="2"/>
      <c r="L25" s="2"/>
      <c r="M25" s="2"/>
    </row>
    <row r="26" spans="1:13" ht="15.75" thickBot="1" x14ac:dyDescent="0.3">
      <c r="A26" s="191" t="s">
        <v>9</v>
      </c>
      <c r="B26" s="192"/>
      <c r="C26" s="192"/>
      <c r="D26" s="192"/>
      <c r="E26" s="192"/>
      <c r="F26" s="192"/>
      <c r="G26" s="192"/>
      <c r="H26" s="192"/>
      <c r="I26" s="193"/>
      <c r="J26" s="2"/>
      <c r="K26" s="2"/>
      <c r="L26" s="2"/>
      <c r="M26" s="2"/>
    </row>
    <row r="27" spans="1:13" ht="48" customHeight="1" thickBot="1" x14ac:dyDescent="0.3">
      <c r="A27" s="191" t="s">
        <v>18</v>
      </c>
      <c r="B27" s="192"/>
      <c r="C27" s="192"/>
      <c r="D27" s="192"/>
      <c r="E27" s="192"/>
      <c r="F27" s="192"/>
      <c r="G27" s="192"/>
      <c r="H27" s="192"/>
      <c r="I27" s="193"/>
      <c r="J27" s="15"/>
      <c r="K27" s="15"/>
      <c r="L27" s="15"/>
      <c r="M27" s="15"/>
    </row>
    <row r="28" spans="1:13" ht="30.75" customHeight="1" thickBot="1" x14ac:dyDescent="0.3">
      <c r="A28" s="191" t="s">
        <v>10</v>
      </c>
      <c r="B28" s="192"/>
      <c r="C28" s="192"/>
      <c r="D28" s="192"/>
      <c r="E28" s="192"/>
      <c r="F28" s="192"/>
      <c r="G28" s="192"/>
      <c r="H28" s="192"/>
      <c r="I28" s="193"/>
      <c r="J28" s="15"/>
      <c r="K28" s="15"/>
      <c r="L28" s="15"/>
      <c r="M28" s="15"/>
    </row>
    <row r="29" spans="1:13" ht="15.75" thickBot="1" x14ac:dyDescent="0.3">
      <c r="A29" s="191" t="s">
        <v>11</v>
      </c>
      <c r="B29" s="192"/>
      <c r="C29" s="192"/>
      <c r="D29" s="192"/>
      <c r="E29" s="192"/>
      <c r="F29" s="192"/>
      <c r="G29" s="192"/>
      <c r="H29" s="192"/>
      <c r="I29" s="193"/>
      <c r="J29" s="15"/>
      <c r="K29" s="15"/>
      <c r="L29" s="15"/>
      <c r="M29" s="15"/>
    </row>
    <row r="30" spans="1:13" x14ac:dyDescent="0.25">
      <c r="A30" s="207" t="s">
        <v>167</v>
      </c>
      <c r="B30" s="207"/>
      <c r="C30" s="207"/>
      <c r="D30" s="207"/>
      <c r="E30" s="207"/>
      <c r="F30" s="207"/>
      <c r="G30" s="207"/>
      <c r="H30" s="207"/>
      <c r="I30" s="207"/>
      <c r="J30" s="1"/>
      <c r="K30" s="1"/>
      <c r="L30" s="1"/>
      <c r="M30" s="1"/>
    </row>
    <row r="31" spans="1:13" hidden="1" x14ac:dyDescent="0.25">
      <c r="A31" s="1"/>
      <c r="B31" s="1"/>
      <c r="C31" s="1"/>
      <c r="D31" s="1"/>
      <c r="E31" s="1"/>
      <c r="F31" s="1"/>
      <c r="G31" s="1"/>
      <c r="H31" s="1"/>
      <c r="I31" s="1"/>
      <c r="J31" s="1"/>
      <c r="K31" s="1"/>
      <c r="L31" s="1"/>
      <c r="M31" s="1"/>
    </row>
    <row r="32" spans="1:13" hidden="1" x14ac:dyDescent="0.25">
      <c r="A32" s="1"/>
      <c r="B32" s="1"/>
      <c r="C32" s="1"/>
      <c r="D32" s="1"/>
      <c r="E32" s="1"/>
      <c r="F32" s="1"/>
      <c r="G32" s="1"/>
      <c r="H32" s="1"/>
      <c r="I32" s="1"/>
      <c r="J32" s="1"/>
      <c r="K32" s="1"/>
      <c r="L32" s="1"/>
      <c r="M32" s="1"/>
    </row>
    <row r="33" spans="1:13" hidden="1" x14ac:dyDescent="0.25">
      <c r="A33" s="1"/>
      <c r="B33" s="1"/>
      <c r="C33" s="1"/>
      <c r="D33" s="1"/>
      <c r="E33" s="1"/>
      <c r="F33" s="1"/>
      <c r="G33" s="1"/>
      <c r="H33" s="1"/>
      <c r="I33" s="1"/>
      <c r="J33" s="1"/>
      <c r="K33" s="1"/>
      <c r="L33" s="1"/>
      <c r="M33" s="1"/>
    </row>
    <row r="34" spans="1:13" hidden="1" x14ac:dyDescent="0.25">
      <c r="A34" s="1"/>
      <c r="B34" s="1"/>
      <c r="C34" s="1"/>
      <c r="D34" s="1"/>
      <c r="E34" s="1"/>
      <c r="F34" s="1"/>
      <c r="G34" s="1"/>
      <c r="H34" s="1"/>
      <c r="I34" s="1"/>
      <c r="J34" s="1"/>
      <c r="K34" s="1"/>
      <c r="L34" s="1"/>
      <c r="M34" s="1"/>
    </row>
    <row r="35" spans="1:13" hidden="1" x14ac:dyDescent="0.25"/>
    <row r="36" spans="1:13" hidden="1" x14ac:dyDescent="0.25"/>
  </sheetData>
  <mergeCells count="30">
    <mergeCell ref="A30:I30"/>
    <mergeCell ref="A23:I23"/>
    <mergeCell ref="A24:I24"/>
    <mergeCell ref="A10:I10"/>
    <mergeCell ref="A9:I9"/>
    <mergeCell ref="A11:I11"/>
    <mergeCell ref="A18:I18"/>
    <mergeCell ref="A21:I21"/>
    <mergeCell ref="A13:I13"/>
    <mergeCell ref="A14:I14"/>
    <mergeCell ref="A16:I16"/>
    <mergeCell ref="A17:I17"/>
    <mergeCell ref="A20:I20"/>
    <mergeCell ref="A26:I26"/>
    <mergeCell ref="A27:I27"/>
    <mergeCell ref="A28:I28"/>
    <mergeCell ref="A29:I29"/>
    <mergeCell ref="A5:I5"/>
    <mergeCell ref="A7:I7"/>
    <mergeCell ref="A8:I8"/>
    <mergeCell ref="A15:I15"/>
    <mergeCell ref="A19:I19"/>
    <mergeCell ref="A22:I22"/>
    <mergeCell ref="A25:I25"/>
    <mergeCell ref="A1:I1"/>
    <mergeCell ref="A2:I2"/>
    <mergeCell ref="A4:I4"/>
    <mergeCell ref="A6:I6"/>
    <mergeCell ref="A12:I12"/>
    <mergeCell ref="A3:I3"/>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5A20C-5E21-4836-9ABC-BCC4034EE8FF}">
  <sheetPr codeName="Sheet2"/>
  <dimension ref="A1:F18"/>
  <sheetViews>
    <sheetView workbookViewId="0">
      <selection activeCell="B11" sqref="B11"/>
    </sheetView>
  </sheetViews>
  <sheetFormatPr defaultColWidth="0" defaultRowHeight="14.25" zeroHeight="1" x14ac:dyDescent="0.2"/>
  <cols>
    <col min="1" max="1" width="25.5703125" style="1" customWidth="1"/>
    <col min="2" max="2" width="19.42578125" style="1" customWidth="1"/>
    <col min="3" max="3" width="19" style="1" customWidth="1"/>
    <col min="4" max="4" width="14.140625" style="1" customWidth="1"/>
    <col min="5" max="6" width="0" style="1" hidden="1" customWidth="1"/>
    <col min="7" max="16384" width="9.140625" style="1" hidden="1"/>
  </cols>
  <sheetData>
    <row r="1" spans="1:4" ht="15" x14ac:dyDescent="0.25">
      <c r="A1" s="221" t="s">
        <v>132</v>
      </c>
      <c r="B1" s="221"/>
      <c r="C1" s="221"/>
      <c r="D1" s="221"/>
    </row>
    <row r="2" spans="1:4" ht="18" x14ac:dyDescent="0.25">
      <c r="A2" s="219" t="s">
        <v>19</v>
      </c>
      <c r="B2" s="219"/>
      <c r="C2" s="219"/>
      <c r="D2" s="219"/>
    </row>
    <row r="3" spans="1:4" ht="53.25" customHeight="1" x14ac:dyDescent="0.2">
      <c r="A3" s="222" t="s">
        <v>25</v>
      </c>
      <c r="B3" s="222"/>
      <c r="C3" s="222"/>
      <c r="D3" s="222"/>
    </row>
    <row r="4" spans="1:4" x14ac:dyDescent="0.2">
      <c r="A4" s="223" t="s">
        <v>166</v>
      </c>
      <c r="B4" s="223"/>
      <c r="C4" s="223"/>
      <c r="D4" s="223"/>
    </row>
    <row r="5" spans="1:4" ht="15" x14ac:dyDescent="0.25">
      <c r="A5" s="220" t="s">
        <v>20</v>
      </c>
      <c r="B5" s="220"/>
      <c r="C5" s="220"/>
      <c r="D5" s="220"/>
    </row>
    <row r="6" spans="1:4" x14ac:dyDescent="0.2">
      <c r="A6" s="3" t="s">
        <v>21</v>
      </c>
      <c r="B6" s="4" t="s">
        <v>22</v>
      </c>
      <c r="C6" s="4" t="s">
        <v>23</v>
      </c>
      <c r="D6" s="5" t="s">
        <v>24</v>
      </c>
    </row>
    <row r="7" spans="1:4" ht="15" x14ac:dyDescent="0.25">
      <c r="A7" s="176"/>
      <c r="B7" s="177"/>
      <c r="C7" s="177"/>
      <c r="D7" s="177"/>
    </row>
    <row r="8" spans="1:4" x14ac:dyDescent="0.2">
      <c r="A8" s="210" t="s">
        <v>166</v>
      </c>
      <c r="B8" s="210"/>
      <c r="C8" s="210"/>
      <c r="D8" s="210"/>
    </row>
    <row r="9" spans="1:4" ht="15.75" thickBot="1" x14ac:dyDescent="0.3">
      <c r="A9" s="220" t="s">
        <v>26</v>
      </c>
      <c r="B9" s="220"/>
      <c r="C9" s="220"/>
      <c r="D9" s="220"/>
    </row>
    <row r="10" spans="1:4" ht="21.75" customHeight="1" thickBot="1" x14ac:dyDescent="0.3">
      <c r="A10" s="42" t="s">
        <v>27</v>
      </c>
      <c r="B10" s="42" t="s">
        <v>28</v>
      </c>
      <c r="C10" s="42" t="s">
        <v>29</v>
      </c>
      <c r="D10" s="174" t="s">
        <v>166</v>
      </c>
    </row>
    <row r="11" spans="1:4" ht="15" x14ac:dyDescent="0.25">
      <c r="A11" s="163" t="s">
        <v>30</v>
      </c>
      <c r="B11" s="178"/>
      <c r="C11" s="179"/>
      <c r="D11" s="43" t="s">
        <v>166</v>
      </c>
    </row>
    <row r="12" spans="1:4" ht="15" x14ac:dyDescent="0.25">
      <c r="A12" s="164" t="s">
        <v>31</v>
      </c>
      <c r="B12" s="180"/>
      <c r="C12" s="181"/>
      <c r="D12" s="43" t="s">
        <v>166</v>
      </c>
    </row>
    <row r="13" spans="1:4" ht="15" x14ac:dyDescent="0.25">
      <c r="A13" s="164" t="s">
        <v>32</v>
      </c>
      <c r="B13" s="180"/>
      <c r="C13" s="181"/>
      <c r="D13" s="43" t="s">
        <v>166</v>
      </c>
    </row>
    <row r="14" spans="1:4" ht="15" x14ac:dyDescent="0.25">
      <c r="A14" s="164" t="s">
        <v>33</v>
      </c>
      <c r="B14" s="180"/>
      <c r="C14" s="181"/>
      <c r="D14" s="43" t="s">
        <v>166</v>
      </c>
    </row>
    <row r="15" spans="1:4" ht="15" x14ac:dyDescent="0.25">
      <c r="A15" s="164" t="s">
        <v>34</v>
      </c>
      <c r="B15" s="180"/>
      <c r="C15" s="181"/>
      <c r="D15" s="43" t="s">
        <v>166</v>
      </c>
    </row>
    <row r="16" spans="1:4" ht="15" x14ac:dyDescent="0.25">
      <c r="A16" s="164" t="s">
        <v>35</v>
      </c>
      <c r="B16" s="180"/>
      <c r="C16" s="181"/>
      <c r="D16" s="43" t="s">
        <v>166</v>
      </c>
    </row>
    <row r="17" spans="1:4" ht="15.75" thickBot="1" x14ac:dyDescent="0.3">
      <c r="A17" s="165" t="s">
        <v>36</v>
      </c>
      <c r="B17" s="182"/>
      <c r="C17" s="183"/>
      <c r="D17" s="43" t="s">
        <v>166</v>
      </c>
    </row>
    <row r="18" spans="1:4" x14ac:dyDescent="0.2">
      <c r="A18" s="210" t="s">
        <v>167</v>
      </c>
      <c r="B18" s="210"/>
      <c r="C18" s="210"/>
      <c r="D18" s="210"/>
    </row>
  </sheetData>
  <mergeCells count="8">
    <mergeCell ref="A18:D18"/>
    <mergeCell ref="A2:D2"/>
    <mergeCell ref="A5:D5"/>
    <mergeCell ref="A9:D9"/>
    <mergeCell ref="A1:D1"/>
    <mergeCell ref="A3:D3"/>
    <mergeCell ref="A4:D4"/>
    <mergeCell ref="A8:D8"/>
  </mergeCells>
  <dataValidations count="18">
    <dataValidation allowBlank="1" showInputMessage="1" showErrorMessage="1" prompt="Input hours of operation per day" sqref="A7" xr:uid="{D243915D-5999-4B6C-A912-0210A643B24A}"/>
    <dataValidation allowBlank="1" showInputMessage="1" showErrorMessage="1" prompt="Enter days per week of operation" sqref="B7" xr:uid="{13D48470-CA0A-4F3D-9D99-ED42EAB607D1}"/>
    <dataValidation allowBlank="1" showInputMessage="1" showErrorMessage="1" prompt="Enter weeks per year of operation" sqref="C7" xr:uid="{DE416F79-10DE-40EB-8F15-CE8918EED8B1}"/>
    <dataValidation allowBlank="1" showInputMessage="1" showErrorMessage="1" prompt="Enter hours per year of operation" sqref="D7" xr:uid="{97989F0E-1E58-480C-871C-7AC710E455B1}"/>
    <dataValidation allowBlank="1" showInputMessage="1" showErrorMessage="1" prompt="Enter tons per hour of standard mix asphalt" sqref="B11" xr:uid="{67E6B944-9244-426A-B256-43F521171336}"/>
    <dataValidation allowBlank="1" showInputMessage="1" showErrorMessage="1" prompt="Enter tons per hour of rubber modified asphalt" sqref="B12" xr:uid="{EB99CA61-AAB6-45D6-8327-9870220D6384}"/>
    <dataValidation allowBlank="1" showInputMessage="1" showErrorMessage="1" prompt="Enter tons per hour of cold mix rapid cure asphalt" sqref="B13" xr:uid="{B182E2C5-2C08-4466-A1B8-847AF317317D}"/>
    <dataValidation allowBlank="1" showInputMessage="1" showErrorMessage="1" prompt="Enter tons per hour of cold mix medium cure asphalt" sqref="B14" xr:uid="{A223E735-3C05-4A8B-8A81-1D88CD84341A}"/>
    <dataValidation allowBlank="1" showInputMessage="1" showErrorMessage="1" prompt="Enter tons per hour of cold mix slow or specialty cure asphalt" sqref="B15" xr:uid="{9FA86104-B02D-4FF8-BA86-BEE4D8CFBF24}"/>
    <dataValidation allowBlank="1" showInputMessage="1" showErrorMessage="1" prompt="Enter tons per hour of cold emulsion mix asphalt" sqref="B16" xr:uid="{AB96E1A3-C331-4EDD-8CE8-52ACC7B66676}"/>
    <dataValidation allowBlank="1" showInputMessage="1" showErrorMessage="1" prompt="Enter tons per hour of other asphalt mixes here and describe in application" sqref="B17" xr:uid="{6A72E13E-EBAB-4CA7-9007-3BAB05D236CD}"/>
    <dataValidation allowBlank="1" showInputMessage="1" showErrorMessage="1" prompt="Enter tons per year of standard mix asphalt" sqref="C11" xr:uid="{9E70DE1F-9FBB-41E3-A275-DEFB24ACCDCC}"/>
    <dataValidation allowBlank="1" showInputMessage="1" showErrorMessage="1" prompt="Enter tons per year of rubber modified asphalt" sqref="C12" xr:uid="{F172450D-4723-4BE2-AEDC-2E35FD3871B1}"/>
    <dataValidation allowBlank="1" showInputMessage="1" showErrorMessage="1" prompt="Enter tons per year of cold mix rapid cure asphalt" sqref="C13" xr:uid="{79AA4BA9-327A-4FB3-8434-E099189D73AB}"/>
    <dataValidation allowBlank="1" showInputMessage="1" showErrorMessage="1" prompt="Enter tons per year of cold mix medium cure asphalt" sqref="C14" xr:uid="{776254E5-673A-41E3-A721-18F0B6113137}"/>
    <dataValidation allowBlank="1" showInputMessage="1" showErrorMessage="1" prompt="Enter tons per year of cold mix slow or specialty cure asphalt" sqref="C15" xr:uid="{FDD6E383-3B9A-4D05-817E-4830CE35594D}"/>
    <dataValidation allowBlank="1" showInputMessage="1" showErrorMessage="1" prompt="Enter tons per year of cold emulsion asphalt" sqref="C16" xr:uid="{EB58416B-FA11-4417-8BC1-643F65E1EEEC}"/>
    <dataValidation allowBlank="1" showInputMessage="1" showErrorMessage="1" prompt="Enter tons per year of other mixes and describe in application" sqref="C17" xr:uid="{77DB5B04-8F48-4526-8365-1FE3470B94B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AF0D-E536-4BCB-889E-EBC40D3EC45A}">
  <sheetPr codeName="Sheet3">
    <pageSetUpPr fitToPage="1"/>
  </sheetPr>
  <dimension ref="A1:J32"/>
  <sheetViews>
    <sheetView workbookViewId="0">
      <selection activeCell="A2" sqref="A2:I2"/>
    </sheetView>
  </sheetViews>
  <sheetFormatPr defaultColWidth="0" defaultRowHeight="14.25" zeroHeight="1" x14ac:dyDescent="0.2"/>
  <cols>
    <col min="1" max="1" width="27.5703125" style="1" customWidth="1"/>
    <col min="2" max="2" width="15.42578125" style="1" customWidth="1"/>
    <col min="3" max="3" width="22.42578125" style="1" customWidth="1"/>
    <col min="4" max="4" width="14.5703125" style="1" customWidth="1"/>
    <col min="5" max="5" width="10.5703125" style="1" customWidth="1"/>
    <col min="6" max="6" width="9.85546875" style="1" customWidth="1"/>
    <col min="7" max="7" width="9.7109375" style="1" customWidth="1"/>
    <col min="8" max="8" width="9" style="1" customWidth="1"/>
    <col min="9" max="9" width="10.5703125" style="1" customWidth="1"/>
    <col min="10" max="10" width="0" style="1" hidden="1" customWidth="1"/>
    <col min="11" max="16384" width="9.140625" style="1" hidden="1"/>
  </cols>
  <sheetData>
    <row r="1" spans="1:10" ht="15" x14ac:dyDescent="0.25">
      <c r="A1" s="185" t="s">
        <v>133</v>
      </c>
      <c r="B1" s="185"/>
      <c r="C1" s="185"/>
      <c r="D1" s="185"/>
      <c r="E1" s="185"/>
      <c r="F1" s="185"/>
      <c r="G1" s="185"/>
      <c r="H1" s="185"/>
      <c r="I1" s="185"/>
    </row>
    <row r="2" spans="1:10" ht="38.25" customHeight="1" x14ac:dyDescent="0.2">
      <c r="A2" s="224" t="s">
        <v>212</v>
      </c>
      <c r="B2" s="224"/>
      <c r="C2" s="224"/>
      <c r="D2" s="224"/>
      <c r="E2" s="224"/>
      <c r="F2" s="224"/>
      <c r="G2" s="224"/>
      <c r="H2" s="224"/>
      <c r="I2" s="224"/>
    </row>
    <row r="3" spans="1:10" ht="15" x14ac:dyDescent="0.25">
      <c r="A3" s="220" t="s">
        <v>38</v>
      </c>
      <c r="B3" s="220"/>
      <c r="C3" s="220"/>
      <c r="D3" s="220"/>
      <c r="E3" s="220"/>
      <c r="F3" s="220"/>
      <c r="G3" s="220"/>
      <c r="H3" s="220"/>
      <c r="I3" s="220"/>
    </row>
    <row r="4" spans="1:10" ht="15.75" thickBot="1" x14ac:dyDescent="0.3">
      <c r="A4" s="16" t="s">
        <v>39</v>
      </c>
      <c r="B4" s="16" t="s">
        <v>40</v>
      </c>
      <c r="C4" s="16" t="s">
        <v>41</v>
      </c>
      <c r="D4" s="210" t="s">
        <v>166</v>
      </c>
      <c r="E4" s="210"/>
      <c r="F4" s="210"/>
      <c r="G4" s="210"/>
      <c r="H4" s="210"/>
      <c r="I4" s="210"/>
    </row>
    <row r="5" spans="1:10" ht="15.75" customHeight="1" thickBot="1" x14ac:dyDescent="0.25">
      <c r="A5" s="44" t="s">
        <v>37</v>
      </c>
      <c r="B5" s="46" t="s">
        <v>64</v>
      </c>
      <c r="C5" s="46" t="s">
        <v>43</v>
      </c>
      <c r="D5" s="230" t="s">
        <v>166</v>
      </c>
      <c r="E5" s="210"/>
      <c r="F5" s="210"/>
      <c r="G5" s="210"/>
      <c r="H5" s="210"/>
      <c r="I5" s="210"/>
    </row>
    <row r="6" spans="1:10" x14ac:dyDescent="0.2">
      <c r="A6" s="210" t="s">
        <v>166</v>
      </c>
      <c r="B6" s="210"/>
      <c r="C6" s="210"/>
      <c r="D6" s="210"/>
      <c r="E6" s="210"/>
      <c r="F6" s="210"/>
      <c r="G6" s="210"/>
      <c r="H6" s="210"/>
      <c r="I6" s="210"/>
    </row>
    <row r="7" spans="1:10" ht="15.75" thickBot="1" x14ac:dyDescent="0.3">
      <c r="A7" s="229" t="s">
        <v>42</v>
      </c>
      <c r="B7" s="229"/>
      <c r="C7" s="229"/>
      <c r="D7" s="229"/>
      <c r="E7" s="229"/>
      <c r="F7" s="229"/>
      <c r="G7" s="229"/>
      <c r="H7" s="229"/>
      <c r="I7" s="229"/>
    </row>
    <row r="8" spans="1:10" ht="30.75" thickBot="1" x14ac:dyDescent="0.3">
      <c r="A8" s="10" t="s">
        <v>60</v>
      </c>
      <c r="B8" s="61" t="s">
        <v>44</v>
      </c>
      <c r="C8" s="59" t="s">
        <v>45</v>
      </c>
      <c r="D8" s="59" t="s">
        <v>46</v>
      </c>
      <c r="E8" s="59" t="s">
        <v>47</v>
      </c>
      <c r="F8" s="61" t="s">
        <v>48</v>
      </c>
      <c r="G8" s="61" t="s">
        <v>49</v>
      </c>
      <c r="H8" s="59" t="s">
        <v>50</v>
      </c>
      <c r="I8" s="60" t="s">
        <v>59</v>
      </c>
      <c r="J8" s="8"/>
    </row>
    <row r="9" spans="1:10" ht="15.75" thickBot="1" x14ac:dyDescent="0.3">
      <c r="A9" s="10" t="s">
        <v>61</v>
      </c>
      <c r="B9" s="31">
        <f>IF(A5="Drum Mix Plant", 0.032, IF(OR(B5="Waste Oil",B5="NG, LPG, No. 2, or WO"), 0.036, IF(OR(B5="Natural Gas or LPG", B5="No. 2 Fuel Oil"), 0.0082, "")))</f>
        <v>3.2000000000000001E-2</v>
      </c>
      <c r="C9" s="32">
        <f>IF(AND(A5="Drum Mix Plant", B5="Natural Gas or LPG"),0.026, IF(AND(A5="Drum Mix Plant", OR(B5="Waste Oil",B5="No. 2 Fuel Oil",B5="NG, LPG, No. 2, or WO")),0.055,IF(AND(A5="Batch Mix (Pug Mill)", B5="Natural Gas or LPG"),0.025, IF(AND(A5="Batch Mix (Pug Mill)", OR(B5="Waste Oil",B5="No. 2 Fuel Oil",B5="NG, LPG, No. 2, or WO")),0.12,""))))</f>
        <v>5.5E-2</v>
      </c>
      <c r="D9" s="30">
        <f>IF(A5="Drum Mix Plant",0.13,0.4)</f>
        <v>0.13</v>
      </c>
      <c r="E9" s="31">
        <f>IF(AND(A5="Drum Mix Plant", B5="Natural Gas or LPG"),0.0034, IF(AND(A5="Drum Mix Plant", OR(B5="Waste Oil", B5="NG, LPG, No. 2, or WO")),0.058, IF(AND(A5="Drum Mix Plant", B5="No. 2 Fuel Oil"), 0.011, IF(AND(A5="Batch Mix (Pug Mill)", B5="Natural Gas or LPG"),0.0046, IF(AND(A5="Batch Mix (Pug Mill)", OR(B5="Waste Oil",B5="NG, LPG, No. 2, or WO")), 0.088, IF(AND(A5="Batch Mix (Pug Mill)", B5="No. 2 Fuel Oil"), 0.088))))))</f>
        <v>5.8000000000000003E-2</v>
      </c>
      <c r="F9" s="33">
        <f>IF(AND(C5="Fabric Filter",A5="Drum Mix Plant"),0.033,IF(AND(C5="Wet Scrubber",A5="Drum Mix Plant"),0.045,IF(AND(C5="Wet Scrubber",A5="Batch Mix (Pug Mill)"),0.14,IF(AND(C5="Fabric Filter",A5="Batch Mix (Pug Mill)"),0.042,""))))</f>
        <v>3.3000000000000002E-2</v>
      </c>
      <c r="G9" s="33">
        <f>IF(AND(C5="Fabric Filter",A5="Drum Mix Plant"),0.023,IF(AND(C5="Wet Scrubber",A5="Drum Mix Plant"),0.045,IF(AND(C5="Wet Scrubber",A5="Batch Mix (Pug Mill)"),0.14,IF(AND(C5="Fabric Filter",A5="Batch Mix (Pug Mill)"),0.027,""))))</f>
        <v>2.3E-2</v>
      </c>
      <c r="H9" s="33">
        <f>IF(AND(C5="Fabric Filter",A5="Drum Mix Plant"),0.0223,IF(AND(C5="Wet Scrubber",A5="Drum Mix Plant"),0.045,IF(AND(C5="Wet Scrubber",A5="Batch Mix (Pug Mill)"),0.14,IF(AND(C5="Fabric Filter",A5="Batch Mix (Pug Mill)"),0.0254,""))))</f>
        <v>2.23E-2</v>
      </c>
      <c r="I9" s="34">
        <v>0.22600000000000001</v>
      </c>
      <c r="J9" s="9"/>
    </row>
    <row r="10" spans="1:10" ht="15.75" thickBot="1" x14ac:dyDescent="0.3">
      <c r="A10" s="232" t="s">
        <v>166</v>
      </c>
      <c r="B10" s="232"/>
      <c r="C10" s="232"/>
      <c r="D10" s="232"/>
      <c r="E10" s="232"/>
      <c r="F10" s="232"/>
      <c r="G10" s="232"/>
      <c r="H10" s="232"/>
      <c r="I10" s="232"/>
      <c r="J10" s="9"/>
    </row>
    <row r="11" spans="1:10" ht="15.75" thickBot="1" x14ac:dyDescent="0.3">
      <c r="A11" s="231" t="s">
        <v>205</v>
      </c>
      <c r="B11" s="231"/>
      <c r="C11" s="231"/>
      <c r="D11" s="231"/>
      <c r="E11" s="231"/>
      <c r="F11" s="231"/>
      <c r="G11" s="231"/>
      <c r="H11" s="231"/>
      <c r="I11" s="231"/>
    </row>
    <row r="12" spans="1:10" ht="31.5" customHeight="1" thickBot="1" x14ac:dyDescent="0.3">
      <c r="A12" s="59" t="s">
        <v>51</v>
      </c>
      <c r="B12" s="61" t="s">
        <v>52</v>
      </c>
      <c r="C12" s="59" t="s">
        <v>45</v>
      </c>
      <c r="D12" s="59" t="s">
        <v>46</v>
      </c>
      <c r="E12" s="59" t="s">
        <v>47</v>
      </c>
      <c r="F12" s="62" t="s">
        <v>48</v>
      </c>
      <c r="G12" s="59" t="s">
        <v>49</v>
      </c>
      <c r="H12" s="59" t="s">
        <v>50</v>
      </c>
      <c r="I12" s="60" t="s">
        <v>53</v>
      </c>
    </row>
    <row r="13" spans="1:10" ht="15.75" thickBot="1" x14ac:dyDescent="0.3">
      <c r="A13" s="29" t="s">
        <v>54</v>
      </c>
      <c r="B13" s="30">
        <f>MAX('Production and Schedule'!$B$11:$B$17)*B9</f>
        <v>0</v>
      </c>
      <c r="C13" s="30">
        <f>MAX('Production and Schedule'!$B$11:$B$17)*C9</f>
        <v>0</v>
      </c>
      <c r="D13" s="30">
        <f>MAX('Production and Schedule'!$B$11:$B$17)*D9</f>
        <v>0</v>
      </c>
      <c r="E13" s="30">
        <f>MAX('Production and Schedule'!$B$11:$B$17)*E9</f>
        <v>0</v>
      </c>
      <c r="F13" s="30">
        <f>MAX('Production and Schedule'!$B$11:$B$17)*F9</f>
        <v>0</v>
      </c>
      <c r="G13" s="30">
        <f>MAX('Production and Schedule'!$B$11:$B$17)*G9</f>
        <v>0</v>
      </c>
      <c r="H13" s="30">
        <f>MAX('Production and Schedule'!$B$11:$B$17)*H9</f>
        <v>0</v>
      </c>
      <c r="I13" s="30">
        <f>MAX('Production and Schedule'!$B$11:$B$17)*I9</f>
        <v>0</v>
      </c>
      <c r="J13" s="7"/>
    </row>
    <row r="14" spans="1:10" ht="18" customHeight="1" thickBot="1" x14ac:dyDescent="0.3">
      <c r="A14" s="29" t="s">
        <v>55</v>
      </c>
      <c r="B14" s="30">
        <f>SUM('Production and Schedule'!$C$11:$C$17)*B9/2000</f>
        <v>0</v>
      </c>
      <c r="C14" s="30">
        <f>SUM('Production and Schedule'!$C$11:$C$17)*C9/2000</f>
        <v>0</v>
      </c>
      <c r="D14" s="30">
        <f>SUM('Production and Schedule'!$C$11:$C$17)*D9/2000</f>
        <v>0</v>
      </c>
      <c r="E14" s="30">
        <f>SUM('Production and Schedule'!$C$11:$C$17)*E9/2000</f>
        <v>0</v>
      </c>
      <c r="F14" s="30">
        <f>SUM('Production and Schedule'!$C$11:$C$17)*F9/2000</f>
        <v>0</v>
      </c>
      <c r="G14" s="30">
        <f>SUM('Production and Schedule'!$C$11:$C$17)*G9/2000</f>
        <v>0</v>
      </c>
      <c r="H14" s="30">
        <f>SUM('Production and Schedule'!$C$11:$C$17)*H9/2000</f>
        <v>0</v>
      </c>
      <c r="I14" s="30">
        <f>SUM('Production and Schedule'!$C$11:$C$17)*I9/2000</f>
        <v>0</v>
      </c>
    </row>
    <row r="15" spans="1:10" ht="18.75" customHeight="1" x14ac:dyDescent="0.2">
      <c r="A15" s="227" t="s">
        <v>56</v>
      </c>
      <c r="B15" s="227"/>
      <c r="C15" s="227"/>
      <c r="D15" s="227"/>
      <c r="E15" s="227"/>
      <c r="F15" s="227"/>
      <c r="G15" s="227"/>
      <c r="H15" s="227"/>
      <c r="I15" s="227"/>
    </row>
    <row r="16" spans="1:10" ht="25.5" customHeight="1" x14ac:dyDescent="0.2">
      <c r="A16" s="228" t="s">
        <v>57</v>
      </c>
      <c r="B16" s="228"/>
      <c r="C16" s="228"/>
      <c r="D16" s="228"/>
      <c r="E16" s="228"/>
      <c r="F16" s="228"/>
      <c r="G16" s="228"/>
      <c r="H16" s="228"/>
      <c r="I16" s="228"/>
    </row>
    <row r="17" spans="1:9" ht="15" x14ac:dyDescent="0.25">
      <c r="A17" s="225" t="s">
        <v>166</v>
      </c>
      <c r="B17" s="225"/>
      <c r="C17" s="225"/>
      <c r="D17" s="225"/>
      <c r="E17" s="225"/>
      <c r="F17" s="225"/>
      <c r="G17" s="225"/>
      <c r="H17" s="225"/>
      <c r="I17" s="225"/>
    </row>
    <row r="18" spans="1:9" ht="16.5" thickBot="1" x14ac:dyDescent="0.3">
      <c r="A18" s="226" t="s">
        <v>168</v>
      </c>
      <c r="B18" s="226"/>
      <c r="C18" s="226"/>
      <c r="D18" s="226"/>
      <c r="E18" s="226"/>
      <c r="F18" s="226"/>
      <c r="G18" s="226"/>
      <c r="H18" s="226"/>
      <c r="I18" s="226"/>
    </row>
    <row r="19" spans="1:9" ht="30.75" thickBot="1" x14ac:dyDescent="0.3">
      <c r="A19" s="75" t="s">
        <v>166</v>
      </c>
      <c r="B19" s="36" t="s">
        <v>83</v>
      </c>
      <c r="C19" s="36" t="s">
        <v>84</v>
      </c>
      <c r="D19" s="36" t="s">
        <v>85</v>
      </c>
      <c r="E19" s="36" t="s">
        <v>86</v>
      </c>
      <c r="F19" s="36" t="s">
        <v>87</v>
      </c>
      <c r="G19" s="233" t="s">
        <v>166</v>
      </c>
      <c r="H19" s="225"/>
      <c r="I19" s="225"/>
    </row>
    <row r="20" spans="1:9" ht="15.75" thickBot="1" x14ac:dyDescent="0.3">
      <c r="A20" s="37" t="s">
        <v>97</v>
      </c>
      <c r="B20" s="41"/>
      <c r="C20" s="41"/>
      <c r="D20" s="41"/>
      <c r="E20" s="41"/>
      <c r="F20" s="41"/>
      <c r="G20" s="233" t="s">
        <v>166</v>
      </c>
      <c r="H20" s="225"/>
      <c r="I20" s="225"/>
    </row>
    <row r="21" spans="1:9" ht="15.75" thickBot="1" x14ac:dyDescent="0.3">
      <c r="A21" s="37" t="s">
        <v>98</v>
      </c>
      <c r="B21" s="41"/>
      <c r="C21" s="41"/>
      <c r="D21" s="41"/>
      <c r="E21" s="41"/>
      <c r="F21" s="41"/>
      <c r="G21" s="233" t="s">
        <v>166</v>
      </c>
      <c r="H21" s="225"/>
      <c r="I21" s="225"/>
    </row>
    <row r="22" spans="1:9" ht="15.75" thickBot="1" x14ac:dyDescent="0.3">
      <c r="A22" s="37" t="s">
        <v>99</v>
      </c>
      <c r="B22" s="45" t="s">
        <v>166</v>
      </c>
      <c r="C22" s="41"/>
      <c r="D22" s="41"/>
      <c r="E22" s="41"/>
      <c r="F22" s="41"/>
      <c r="G22" s="233" t="s">
        <v>166</v>
      </c>
      <c r="H22" s="225"/>
      <c r="I22" s="225"/>
    </row>
    <row r="23" spans="1:9" ht="15.75" thickBot="1" x14ac:dyDescent="0.3">
      <c r="A23" s="37" t="s">
        <v>169</v>
      </c>
      <c r="B23" s="39">
        <v>1</v>
      </c>
      <c r="C23" s="41"/>
      <c r="D23" s="41"/>
      <c r="E23" s="41"/>
      <c r="F23" s="41"/>
      <c r="G23" s="233" t="s">
        <v>166</v>
      </c>
      <c r="H23" s="225"/>
      <c r="I23" s="225"/>
    </row>
    <row r="24" spans="1:9" ht="15.75" thickBot="1" x14ac:dyDescent="0.3">
      <c r="A24" s="37" t="s">
        <v>88</v>
      </c>
      <c r="B24" s="38">
        <v>2.5</v>
      </c>
      <c r="C24" s="38">
        <v>3.5</v>
      </c>
      <c r="D24" s="38">
        <v>2</v>
      </c>
      <c r="E24" s="38">
        <v>1.75</v>
      </c>
      <c r="F24" s="41"/>
      <c r="G24" s="233" t="s">
        <v>166</v>
      </c>
      <c r="H24" s="225"/>
      <c r="I24" s="225"/>
    </row>
    <row r="25" spans="1:9" ht="15.75" thickBot="1" x14ac:dyDescent="0.3">
      <c r="A25" s="37" t="s">
        <v>89</v>
      </c>
      <c r="B25" s="38" t="s">
        <v>90</v>
      </c>
      <c r="C25" s="38">
        <v>4.2000000000000006E-3</v>
      </c>
      <c r="D25" s="38">
        <v>2.4000000000000002E-3</v>
      </c>
      <c r="E25" s="38">
        <v>2.1000000000000003E-3</v>
      </c>
      <c r="F25" s="41"/>
      <c r="G25" s="11" t="s">
        <v>91</v>
      </c>
      <c r="H25" s="233" t="s">
        <v>166</v>
      </c>
      <c r="I25" s="225"/>
    </row>
    <row r="26" spans="1:9" ht="15.75" thickBot="1" x14ac:dyDescent="0.3">
      <c r="A26" s="37" t="s">
        <v>92</v>
      </c>
      <c r="B26" s="40">
        <f>B24*B20</f>
        <v>0</v>
      </c>
      <c r="C26" s="40">
        <f>C24*C20</f>
        <v>0</v>
      </c>
      <c r="D26" s="40">
        <f>D24*D20</f>
        <v>0</v>
      </c>
      <c r="E26" s="40">
        <f>E24*E20</f>
        <v>0</v>
      </c>
      <c r="F26" s="40">
        <f>F24*F20</f>
        <v>0</v>
      </c>
      <c r="G26" s="12">
        <f>MAX(B26:F26)</f>
        <v>0</v>
      </c>
      <c r="H26" s="233" t="s">
        <v>166</v>
      </c>
      <c r="I26" s="225"/>
    </row>
    <row r="27" spans="1:9" ht="15.75" thickBot="1" x14ac:dyDescent="0.3">
      <c r="A27" s="37" t="s">
        <v>93</v>
      </c>
      <c r="B27" s="40">
        <f>B24*B21/2000</f>
        <v>0</v>
      </c>
      <c r="C27" s="40">
        <f>C24*C21/2000</f>
        <v>0</v>
      </c>
      <c r="D27" s="40">
        <f>D24*D21/2000</f>
        <v>0</v>
      </c>
      <c r="E27" s="40">
        <f>E24*E21/2000</f>
        <v>0</v>
      </c>
      <c r="F27" s="40">
        <f>F24*F21/2000</f>
        <v>0</v>
      </c>
      <c r="G27" s="12">
        <f>SUM(B27:F27)</f>
        <v>0</v>
      </c>
      <c r="H27" s="233" t="s">
        <v>166</v>
      </c>
      <c r="I27" s="225"/>
    </row>
    <row r="28" spans="1:9" ht="15.75" thickBot="1" x14ac:dyDescent="0.3">
      <c r="A28" s="37" t="s">
        <v>94</v>
      </c>
      <c r="B28" s="40"/>
      <c r="C28" s="40">
        <f>C25*C22</f>
        <v>0</v>
      </c>
      <c r="D28" s="40">
        <f>D25*D22</f>
        <v>0</v>
      </c>
      <c r="E28" s="40">
        <f>E25*E22</f>
        <v>0</v>
      </c>
      <c r="F28" s="40">
        <f>F25*F22</f>
        <v>0</v>
      </c>
      <c r="G28" s="12">
        <f>MAX(C28:F28)</f>
        <v>0</v>
      </c>
      <c r="H28" s="233" t="s">
        <v>166</v>
      </c>
      <c r="I28" s="225"/>
    </row>
    <row r="29" spans="1:9" ht="15.75" thickBot="1" x14ac:dyDescent="0.3">
      <c r="A29" s="37" t="s">
        <v>95</v>
      </c>
      <c r="B29" s="40"/>
      <c r="C29" s="40">
        <f>C24*C21*(1-(C23/100))/2000</f>
        <v>0</v>
      </c>
      <c r="D29" s="40">
        <f>D24*D21*(1-(D23/100))/2000</f>
        <v>0</v>
      </c>
      <c r="E29" s="40">
        <f>E24*E21*(1-(E23/100))/2000</f>
        <v>0</v>
      </c>
      <c r="F29" s="40">
        <f>F24*F21*(1-(F23/100))/2000</f>
        <v>0</v>
      </c>
      <c r="G29" s="13">
        <f>SUM(C29:F29)</f>
        <v>0</v>
      </c>
      <c r="H29" s="233" t="s">
        <v>166</v>
      </c>
      <c r="I29" s="225"/>
    </row>
    <row r="30" spans="1:9" ht="15" x14ac:dyDescent="0.25">
      <c r="A30" s="234" t="s">
        <v>96</v>
      </c>
      <c r="B30" s="234"/>
      <c r="C30" s="234"/>
      <c r="D30" s="234"/>
      <c r="E30" s="234"/>
      <c r="F30" s="234"/>
      <c r="G30" s="234"/>
      <c r="H30" s="234"/>
      <c r="I30" s="234"/>
    </row>
    <row r="31" spans="1:9" ht="15" customHeight="1" x14ac:dyDescent="0.2">
      <c r="A31" s="210" t="s">
        <v>167</v>
      </c>
      <c r="B31" s="210"/>
      <c r="C31" s="210"/>
      <c r="D31" s="210"/>
      <c r="E31" s="210"/>
      <c r="F31" s="210"/>
      <c r="G31" s="210"/>
      <c r="H31" s="210"/>
      <c r="I31" s="210"/>
    </row>
    <row r="32" spans="1:9" hidden="1" x14ac:dyDescent="0.2"/>
  </sheetData>
  <mergeCells count="26">
    <mergeCell ref="G24:I24"/>
    <mergeCell ref="H25:I25"/>
    <mergeCell ref="H26:I26"/>
    <mergeCell ref="G19:I19"/>
    <mergeCell ref="G20:I20"/>
    <mergeCell ref="G21:I21"/>
    <mergeCell ref="G22:I22"/>
    <mergeCell ref="G23:I23"/>
    <mergeCell ref="H29:I29"/>
    <mergeCell ref="A30:I30"/>
    <mergeCell ref="A31:I31"/>
    <mergeCell ref="H27:I27"/>
    <mergeCell ref="H28:I28"/>
    <mergeCell ref="A1:I1"/>
    <mergeCell ref="A2:I2"/>
    <mergeCell ref="A3:I3"/>
    <mergeCell ref="A17:I17"/>
    <mergeCell ref="A18:I18"/>
    <mergeCell ref="A15:I15"/>
    <mergeCell ref="A16:I16"/>
    <mergeCell ref="A6:I6"/>
    <mergeCell ref="A7:I7"/>
    <mergeCell ref="D4:I4"/>
    <mergeCell ref="D5:I5"/>
    <mergeCell ref="A11:I11"/>
    <mergeCell ref="A10:I10"/>
  </mergeCells>
  <conditionalFormatting sqref="F8:G9">
    <cfRule type="cellIs" priority="1" stopIfTrue="1" operator="equal">
      <formula>""""""</formula>
    </cfRule>
  </conditionalFormatting>
  <dataValidations count="20">
    <dataValidation allowBlank="1" showInputMessage="1" showErrorMessage="1" prompt="Enter tons per hour of rapid cure" sqref="B20" xr:uid="{B4064BE9-6C90-41C9-8411-1CB9BA5F7E5C}"/>
    <dataValidation allowBlank="1" showInputMessage="1" showErrorMessage="1" prompt="Enter tons per hour of medium cure" sqref="C20" xr:uid="{53B46751-C04D-45C0-BEFE-B0F3EA66DED6}"/>
    <dataValidation allowBlank="1" showInputMessage="1" showErrorMessage="1" prompt="Enter tons per hour of  slow/specialty cure" sqref="D20" xr:uid="{AB91DAD4-9D7F-4161-A09B-C0BCD4F81B1D}"/>
    <dataValidation allowBlank="1" showInputMessage="1" showErrorMessage="1" prompt="Enter tons per hour of emulsion mix" sqref="E20" xr:uid="{E059D743-701F-49DB-983C-0D7D04507FE3}"/>
    <dataValidation allowBlank="1" showInputMessage="1" showErrorMessage="1" prompt="Enter tons per hour of other mix" sqref="F20" xr:uid="{C64D5454-B199-40DF-BBED-66455A603B76}"/>
    <dataValidation allowBlank="1" showInputMessage="1" showErrorMessage="1" prompt="Enter tons per year of rapid cure" sqref="B21" xr:uid="{CFC8B33D-7E50-4B7A-B689-118E7D8C04D9}"/>
    <dataValidation allowBlank="1" showInputMessage="1" showErrorMessage="1" prompt="Enter tons per year of medium cure" sqref="C21" xr:uid="{190A4DE7-887E-4096-BD82-C3329892258D}"/>
    <dataValidation allowBlank="1" showInputMessage="1" showErrorMessage="1" prompt="Enter tons per year of slow specialty cure" sqref="D21" xr:uid="{FDC440F0-E0D1-4723-B922-4111BC5DE205}"/>
    <dataValidation allowBlank="1" showInputMessage="1" showErrorMessage="1" prompt="Enter tons per year of emulsion" sqref="E21" xr:uid="{6889EDB0-1341-45E5-ADDC-43351ECBDDE3}"/>
    <dataValidation allowBlank="1" showInputMessage="1" showErrorMessage="1" prompt="Enter tons per year of other mix" sqref="F21" xr:uid="{9684D215-1C82-4C02-8B52-DBDE559B794A}"/>
    <dataValidation allowBlank="1" showInputMessage="1" showErrorMessage="1" prompt="Enter tons per week of medium cure" sqref="C22" xr:uid="{149B3877-5E32-491E-8BA1-8978C1A3553A}"/>
    <dataValidation allowBlank="1" showInputMessage="1" showErrorMessage="1" prompt="Enter tons per week of slow specialty cure" sqref="D22" xr:uid="{EB9A8FC6-7D8B-4B68-A483-EDBE54D47163}"/>
    <dataValidation allowBlank="1" showInputMessage="1" showErrorMessage="1" prompt="Enter tons per week of emulsion" sqref="E22" xr:uid="{9646CF01-29D2-466A-843A-E78F9E7AECFD}"/>
    <dataValidation allowBlank="1" showInputMessage="1" showErrorMessage="1" prompt="Enter tons per week of other mix" sqref="F22" xr:uid="{68407C9D-747C-471D-9482-6806CF1DAD34}"/>
    <dataValidation allowBlank="1" showInputMessage="1" showErrorMessage="1" prompt="Enter percent shipped immediately of medium cure product" sqref="C23" xr:uid="{0B8D970A-E2BD-4533-8497-D1D53AD0BDAE}"/>
    <dataValidation allowBlank="1" showInputMessage="1" showErrorMessage="1" prompt="Enter percent shipped immediately of slow specialty cure" sqref="D23" xr:uid="{3FDEB1AC-386F-42F7-B2E9-42FB1EC9D2A7}"/>
    <dataValidation allowBlank="1" showInputMessage="1" showErrorMessage="1" prompt="Enter percent shipped immediately of emulsion" sqref="E23" xr:uid="{3A1E3EF2-54B5-40AC-8285-9A3A1E3E8400}"/>
    <dataValidation allowBlank="1" showInputMessage="1" showErrorMessage="1" prompt="Enter percent shipped immediately of other mix" sqref="F23" xr:uid="{2686C21A-4AC6-4771-8293-CA1E0B71A256}"/>
    <dataValidation allowBlank="1" showInputMessage="1" showErrorMessage="1" prompt="Enter a custom emission factor on a pound per ton basis for other mix" sqref="F24" xr:uid="{FDBF030A-0F76-4748-9A30-3CB44B117736}"/>
    <dataValidation allowBlank="1" showInputMessage="1" showErrorMessage="1" prompt="Enter a custom emission factor on a pound per hour-ton-week basis" sqref="F25" xr:uid="{16CB73FB-41B7-4A8E-812C-BE9962B10955}"/>
  </dataValidations>
  <pageMargins left="0.7" right="0.7" top="0.75" bottom="0.75" header="0.3" footer="0.3"/>
  <pageSetup scale="9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Pick type of plant from this list" xr:uid="{D84865E0-6054-40C1-BA01-FA2EB0D5EC81}">
          <x14:formula1>
            <xm:f>'Drop Down lists'!$A$1:$A$2</xm:f>
          </x14:formula1>
          <xm:sqref>A5</xm:sqref>
        </x14:dataValidation>
        <x14:dataValidation type="list" allowBlank="1" showInputMessage="1" showErrorMessage="1" prompt="Pick type of fuel from this list" xr:uid="{5F018465-7DC5-46AA-B13F-CDDCD275158B}">
          <x14:formula1>
            <xm:f>'Drop Down lists'!$A$3:$A$6</xm:f>
          </x14:formula1>
          <xm:sqref>B5</xm:sqref>
        </x14:dataValidation>
        <x14:dataValidation type="list" allowBlank="1" showInputMessage="1" showErrorMessage="1" prompt="Select type of control from this list" xr:uid="{708CC0AF-6A06-49D2-9A0A-F33303986CB2}">
          <x14:formula1>
            <xm:f>'Drop Down lists'!$A$7:$A$8</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E03E-3D07-47DC-B40C-F59382B49E13}">
  <sheetPr codeName="Sheet4">
    <pageSetUpPr fitToPage="1"/>
  </sheetPr>
  <dimension ref="A1:E44"/>
  <sheetViews>
    <sheetView topLeftCell="A22" workbookViewId="0">
      <selection activeCell="A9" sqref="A9:B9"/>
    </sheetView>
  </sheetViews>
  <sheetFormatPr defaultColWidth="0" defaultRowHeight="15" zeroHeight="1" x14ac:dyDescent="0.25"/>
  <cols>
    <col min="1" max="1" width="32.28515625" customWidth="1"/>
    <col min="2" max="2" width="9.42578125" customWidth="1"/>
    <col min="3" max="3" width="3.42578125" customWidth="1"/>
    <col min="4" max="4" width="33" customWidth="1"/>
    <col min="5" max="5" width="9.140625" customWidth="1"/>
    <col min="6" max="16384" width="9.140625" hidden="1"/>
  </cols>
  <sheetData>
    <row r="1" spans="1:5" x14ac:dyDescent="0.25">
      <c r="A1" s="241" t="s">
        <v>134</v>
      </c>
      <c r="B1" s="241"/>
      <c r="C1" s="241"/>
      <c r="D1" s="241"/>
      <c r="E1" s="241"/>
    </row>
    <row r="2" spans="1:5" ht="32.25" customHeight="1" x14ac:dyDescent="0.25">
      <c r="A2" s="242" t="s">
        <v>217</v>
      </c>
      <c r="B2" s="242"/>
      <c r="C2" s="242"/>
      <c r="D2" s="242"/>
      <c r="E2" s="242"/>
    </row>
    <row r="3" spans="1:5" ht="50.25" customHeight="1" x14ac:dyDescent="0.25">
      <c r="A3" s="243" t="s">
        <v>218</v>
      </c>
      <c r="B3" s="243"/>
      <c r="C3" s="77" t="s">
        <v>166</v>
      </c>
      <c r="D3" s="243" t="s">
        <v>219</v>
      </c>
      <c r="E3" s="243"/>
    </row>
    <row r="4" spans="1:5" x14ac:dyDescent="0.25">
      <c r="A4" s="50" t="s">
        <v>67</v>
      </c>
      <c r="B4" s="51"/>
      <c r="C4" s="76" t="s">
        <v>166</v>
      </c>
      <c r="D4" s="50" t="s">
        <v>67</v>
      </c>
      <c r="E4" s="51"/>
    </row>
    <row r="5" spans="1:5" x14ac:dyDescent="0.25">
      <c r="A5" s="50" t="s">
        <v>68</v>
      </c>
      <c r="B5" s="52"/>
      <c r="C5" s="76" t="s">
        <v>166</v>
      </c>
      <c r="D5" s="50" t="s">
        <v>68</v>
      </c>
      <c r="E5" s="52"/>
    </row>
    <row r="6" spans="1:5" x14ac:dyDescent="0.25">
      <c r="A6" s="50" t="s">
        <v>77</v>
      </c>
      <c r="B6" s="53">
        <v>8.8999999999999999E-3</v>
      </c>
      <c r="C6" s="76" t="s">
        <v>166</v>
      </c>
      <c r="D6" s="50" t="s">
        <v>77</v>
      </c>
      <c r="E6" s="53">
        <v>8.8999999999999999E-3</v>
      </c>
    </row>
    <row r="7" spans="1:5" x14ac:dyDescent="0.25">
      <c r="A7" s="50" t="s">
        <v>78</v>
      </c>
      <c r="B7" s="53">
        <v>4.8999999999999998E-3</v>
      </c>
      <c r="C7" s="76" t="s">
        <v>166</v>
      </c>
      <c r="D7" s="50" t="s">
        <v>78</v>
      </c>
      <c r="E7" s="53">
        <v>4.8999999999999998E-3</v>
      </c>
    </row>
    <row r="8" spans="1:5" ht="15.75" thickBot="1" x14ac:dyDescent="0.3">
      <c r="A8" s="166" t="s">
        <v>79</v>
      </c>
      <c r="B8" s="167">
        <v>8.4000000000000003E-4</v>
      </c>
      <c r="C8" s="76" t="s">
        <v>166</v>
      </c>
      <c r="D8" s="166" t="s">
        <v>79</v>
      </c>
      <c r="E8" s="167">
        <v>8.4000000000000003E-4</v>
      </c>
    </row>
    <row r="9" spans="1:5" x14ac:dyDescent="0.25">
      <c r="A9" s="238" t="s">
        <v>166</v>
      </c>
      <c r="B9" s="239"/>
      <c r="C9" s="76" t="s">
        <v>166</v>
      </c>
      <c r="D9" s="238" t="s">
        <v>166</v>
      </c>
      <c r="E9" s="239"/>
    </row>
    <row r="10" spans="1:5" x14ac:dyDescent="0.25">
      <c r="A10" s="50" t="s">
        <v>69</v>
      </c>
      <c r="B10" s="53">
        <f>B4*B6</f>
        <v>0</v>
      </c>
      <c r="C10" s="76" t="s">
        <v>166</v>
      </c>
      <c r="D10" s="50" t="s">
        <v>69</v>
      </c>
      <c r="E10" s="53">
        <f>E4*E6</f>
        <v>0</v>
      </c>
    </row>
    <row r="11" spans="1:5" x14ac:dyDescent="0.25">
      <c r="A11" s="50" t="s">
        <v>70</v>
      </c>
      <c r="B11" s="53">
        <f>(B5*B6)/2000</f>
        <v>0</v>
      </c>
      <c r="C11" s="76" t="s">
        <v>166</v>
      </c>
      <c r="D11" s="50" t="s">
        <v>70</v>
      </c>
      <c r="E11" s="53">
        <f>(E5*E6)/2000</f>
        <v>0</v>
      </c>
    </row>
    <row r="12" spans="1:5" x14ac:dyDescent="0.25">
      <c r="A12" s="50" t="s">
        <v>71</v>
      </c>
      <c r="B12" s="53">
        <f>B4*B7</f>
        <v>0</v>
      </c>
      <c r="C12" s="76" t="s">
        <v>166</v>
      </c>
      <c r="D12" s="50" t="s">
        <v>71</v>
      </c>
      <c r="E12" s="53">
        <f>E4*E7</f>
        <v>0</v>
      </c>
    </row>
    <row r="13" spans="1:5" x14ac:dyDescent="0.25">
      <c r="A13" s="50" t="s">
        <v>72</v>
      </c>
      <c r="B13" s="53">
        <f>(B5*B7)/2000</f>
        <v>0</v>
      </c>
      <c r="C13" s="76" t="s">
        <v>166</v>
      </c>
      <c r="D13" s="50" t="s">
        <v>72</v>
      </c>
      <c r="E13" s="53">
        <f>(E5*E7)/2000</f>
        <v>0</v>
      </c>
    </row>
    <row r="14" spans="1:5" x14ac:dyDescent="0.25">
      <c r="A14" s="50" t="s">
        <v>73</v>
      </c>
      <c r="B14" s="53">
        <f>B4*B8</f>
        <v>0</v>
      </c>
      <c r="C14" s="76" t="s">
        <v>166</v>
      </c>
      <c r="D14" s="50" t="s">
        <v>73</v>
      </c>
      <c r="E14" s="53">
        <f>E4*E8</f>
        <v>0</v>
      </c>
    </row>
    <row r="15" spans="1:5" x14ac:dyDescent="0.25">
      <c r="A15" s="50" t="s">
        <v>74</v>
      </c>
      <c r="B15" s="53">
        <f>(B5*B8)/2000</f>
        <v>0</v>
      </c>
      <c r="C15" s="76" t="s">
        <v>166</v>
      </c>
      <c r="D15" s="50" t="s">
        <v>74</v>
      </c>
      <c r="E15" s="53">
        <f>(E5*E8)/2000</f>
        <v>0</v>
      </c>
    </row>
    <row r="16" spans="1:5" x14ac:dyDescent="0.25">
      <c r="A16" s="244" t="s">
        <v>166</v>
      </c>
      <c r="B16" s="244"/>
      <c r="C16" s="244"/>
      <c r="D16" s="244"/>
      <c r="E16" s="244"/>
    </row>
    <row r="17" spans="1:5" ht="54" customHeight="1" x14ac:dyDescent="0.25">
      <c r="A17" s="243" t="s">
        <v>220</v>
      </c>
      <c r="B17" s="243"/>
      <c r="C17" s="76" t="s">
        <v>166</v>
      </c>
      <c r="D17" s="243" t="s">
        <v>221</v>
      </c>
      <c r="E17" s="243"/>
    </row>
    <row r="18" spans="1:5" x14ac:dyDescent="0.25">
      <c r="A18" s="50" t="s">
        <v>67</v>
      </c>
      <c r="B18" s="51"/>
      <c r="C18" s="76" t="s">
        <v>166</v>
      </c>
      <c r="D18" s="50" t="s">
        <v>67</v>
      </c>
      <c r="E18" s="51"/>
    </row>
    <row r="19" spans="1:5" x14ac:dyDescent="0.25">
      <c r="A19" s="50" t="s">
        <v>68</v>
      </c>
      <c r="B19" s="52"/>
      <c r="C19" s="76" t="s">
        <v>166</v>
      </c>
      <c r="D19" s="50" t="s">
        <v>68</v>
      </c>
      <c r="E19" s="52"/>
    </row>
    <row r="20" spans="1:5" x14ac:dyDescent="0.25">
      <c r="A20" s="50" t="s">
        <v>77</v>
      </c>
      <c r="B20" s="53">
        <v>8.8999999999999999E-3</v>
      </c>
      <c r="C20" s="76" t="s">
        <v>166</v>
      </c>
      <c r="D20" s="50" t="s">
        <v>77</v>
      </c>
      <c r="E20" s="53">
        <v>8.8999999999999999E-3</v>
      </c>
    </row>
    <row r="21" spans="1:5" x14ac:dyDescent="0.25">
      <c r="A21" s="50" t="s">
        <v>78</v>
      </c>
      <c r="B21" s="53">
        <v>4.8999999999999998E-3</v>
      </c>
      <c r="C21" s="76" t="s">
        <v>166</v>
      </c>
      <c r="D21" s="50" t="s">
        <v>78</v>
      </c>
      <c r="E21" s="53">
        <v>4.8999999999999998E-3</v>
      </c>
    </row>
    <row r="22" spans="1:5" ht="15.75" thickBot="1" x14ac:dyDescent="0.3">
      <c r="A22" s="166" t="s">
        <v>79</v>
      </c>
      <c r="B22" s="167">
        <v>8.4000000000000003E-4</v>
      </c>
      <c r="C22" s="76" t="s">
        <v>166</v>
      </c>
      <c r="D22" s="166" t="s">
        <v>79</v>
      </c>
      <c r="E22" s="175">
        <v>8.0000000000000004E-4</v>
      </c>
    </row>
    <row r="23" spans="1:5" x14ac:dyDescent="0.25">
      <c r="A23" s="236" t="s">
        <v>166</v>
      </c>
      <c r="B23" s="237"/>
      <c r="C23" s="76" t="s">
        <v>166</v>
      </c>
      <c r="D23" s="238" t="s">
        <v>166</v>
      </c>
      <c r="E23" s="239"/>
    </row>
    <row r="24" spans="1:5" x14ac:dyDescent="0.25">
      <c r="A24" s="50" t="s">
        <v>69</v>
      </c>
      <c r="B24" s="53">
        <f>B18*B20</f>
        <v>0</v>
      </c>
      <c r="C24" s="173" t="s">
        <v>166</v>
      </c>
      <c r="D24" s="50" t="s">
        <v>69</v>
      </c>
      <c r="E24" s="53">
        <f>E18*E20</f>
        <v>0</v>
      </c>
    </row>
    <row r="25" spans="1:5" x14ac:dyDescent="0.25">
      <c r="A25" s="50" t="s">
        <v>70</v>
      </c>
      <c r="B25" s="53">
        <f>(B19*B20)/2000</f>
        <v>0</v>
      </c>
      <c r="C25" s="173" t="s">
        <v>166</v>
      </c>
      <c r="D25" s="50" t="s">
        <v>70</v>
      </c>
      <c r="E25" s="53">
        <f>(E19*E20)/2000</f>
        <v>0</v>
      </c>
    </row>
    <row r="26" spans="1:5" x14ac:dyDescent="0.25">
      <c r="A26" s="50" t="s">
        <v>71</v>
      </c>
      <c r="B26" s="53">
        <f>B18*B21</f>
        <v>0</v>
      </c>
      <c r="C26" s="173" t="s">
        <v>166</v>
      </c>
      <c r="D26" s="50" t="s">
        <v>71</v>
      </c>
      <c r="E26" s="53">
        <f>E18*E21</f>
        <v>0</v>
      </c>
    </row>
    <row r="27" spans="1:5" x14ac:dyDescent="0.25">
      <c r="A27" s="50" t="s">
        <v>72</v>
      </c>
      <c r="B27" s="53">
        <f>(B19*B21)/2000</f>
        <v>0</v>
      </c>
      <c r="C27" s="173" t="s">
        <v>166</v>
      </c>
      <c r="D27" s="50" t="s">
        <v>72</v>
      </c>
      <c r="E27" s="53">
        <f>(E19*E21)/2000</f>
        <v>0</v>
      </c>
    </row>
    <row r="28" spans="1:5" x14ac:dyDescent="0.25">
      <c r="A28" s="50" t="s">
        <v>73</v>
      </c>
      <c r="B28" s="53">
        <f>B18*B22</f>
        <v>0</v>
      </c>
      <c r="C28" s="173" t="s">
        <v>166</v>
      </c>
      <c r="D28" s="50" t="s">
        <v>73</v>
      </c>
      <c r="E28" s="53">
        <f>E18*E22</f>
        <v>0</v>
      </c>
    </row>
    <row r="29" spans="1:5" x14ac:dyDescent="0.25">
      <c r="A29" s="50" t="s">
        <v>74</v>
      </c>
      <c r="B29" s="53">
        <f>(B19*B22)/2000</f>
        <v>0</v>
      </c>
      <c r="C29" s="173" t="s">
        <v>166</v>
      </c>
      <c r="D29" s="50" t="s">
        <v>74</v>
      </c>
      <c r="E29" s="53">
        <f>(E19*E22)/2000</f>
        <v>0</v>
      </c>
    </row>
    <row r="30" spans="1:5" x14ac:dyDescent="0.25">
      <c r="A30" s="235" t="s">
        <v>166</v>
      </c>
      <c r="B30" s="235"/>
      <c r="C30" s="235"/>
      <c r="D30" s="235"/>
      <c r="E30" s="235"/>
    </row>
    <row r="31" spans="1:5" ht="51.75" customHeight="1" x14ac:dyDescent="0.25">
      <c r="A31" s="240" t="s">
        <v>222</v>
      </c>
      <c r="B31" s="240"/>
      <c r="C31" s="76" t="s">
        <v>166</v>
      </c>
      <c r="D31" s="240" t="s">
        <v>223</v>
      </c>
      <c r="E31" s="240"/>
    </row>
    <row r="32" spans="1:5" x14ac:dyDescent="0.25">
      <c r="A32" s="168" t="s">
        <v>82</v>
      </c>
      <c r="B32" s="162"/>
      <c r="C32" s="76" t="s">
        <v>166</v>
      </c>
      <c r="D32" s="168" t="s">
        <v>82</v>
      </c>
      <c r="E32" s="162"/>
    </row>
    <row r="33" spans="1:5" x14ac:dyDescent="0.25">
      <c r="A33" s="168" t="s">
        <v>75</v>
      </c>
      <c r="B33" s="162"/>
      <c r="C33" s="76" t="s">
        <v>166</v>
      </c>
      <c r="D33" s="168" t="s">
        <v>75</v>
      </c>
      <c r="E33" s="162"/>
    </row>
    <row r="34" spans="1:5" x14ac:dyDescent="0.25">
      <c r="A34" s="168" t="s">
        <v>76</v>
      </c>
      <c r="B34" s="162"/>
      <c r="C34" s="76" t="s">
        <v>166</v>
      </c>
      <c r="D34" s="168" t="s">
        <v>76</v>
      </c>
      <c r="E34" s="162"/>
    </row>
    <row r="35" spans="1:5" x14ac:dyDescent="0.25">
      <c r="A35" s="168" t="s">
        <v>80</v>
      </c>
      <c r="B35" s="169">
        <f>(B32*B33)/(7000)*(60)</f>
        <v>0</v>
      </c>
      <c r="C35" s="76" t="s">
        <v>166</v>
      </c>
      <c r="D35" s="168" t="s">
        <v>80</v>
      </c>
      <c r="E35" s="169">
        <f>(E32*E33)/(7000)*(60)</f>
        <v>0</v>
      </c>
    </row>
    <row r="36" spans="1:5" x14ac:dyDescent="0.25">
      <c r="A36" s="168" t="s">
        <v>81</v>
      </c>
      <c r="B36" s="169">
        <f>(B35*B34)/2000</f>
        <v>0</v>
      </c>
      <c r="C36" s="76" t="s">
        <v>166</v>
      </c>
      <c r="D36" s="168" t="s">
        <v>81</v>
      </c>
      <c r="E36" s="169">
        <f>(E35*E34)/2000</f>
        <v>0</v>
      </c>
    </row>
    <row r="37" spans="1:5" x14ac:dyDescent="0.25">
      <c r="A37" s="225" t="s">
        <v>166</v>
      </c>
      <c r="B37" s="225"/>
      <c r="C37" s="225"/>
      <c r="D37" s="225"/>
      <c r="E37" s="225"/>
    </row>
    <row r="38" spans="1:5" ht="47.25" customHeight="1" x14ac:dyDescent="0.25">
      <c r="A38" s="240" t="s">
        <v>224</v>
      </c>
      <c r="B38" s="240"/>
      <c r="C38" s="76" t="s">
        <v>166</v>
      </c>
      <c r="D38" s="240" t="s">
        <v>216</v>
      </c>
      <c r="E38" s="240"/>
    </row>
    <row r="39" spans="1:5" x14ac:dyDescent="0.25">
      <c r="A39" s="168" t="s">
        <v>82</v>
      </c>
      <c r="B39" s="162"/>
      <c r="C39" s="76" t="s">
        <v>166</v>
      </c>
      <c r="D39" s="168" t="s">
        <v>82</v>
      </c>
      <c r="E39" s="162"/>
    </row>
    <row r="40" spans="1:5" x14ac:dyDescent="0.25">
      <c r="A40" s="168" t="s">
        <v>75</v>
      </c>
      <c r="B40" s="162"/>
      <c r="C40" s="76" t="s">
        <v>166</v>
      </c>
      <c r="D40" s="168" t="s">
        <v>75</v>
      </c>
      <c r="E40" s="162"/>
    </row>
    <row r="41" spans="1:5" x14ac:dyDescent="0.25">
      <c r="A41" s="168" t="s">
        <v>76</v>
      </c>
      <c r="B41" s="162"/>
      <c r="C41" s="76" t="s">
        <v>166</v>
      </c>
      <c r="D41" s="168" t="s">
        <v>76</v>
      </c>
      <c r="E41" s="162"/>
    </row>
    <row r="42" spans="1:5" x14ac:dyDescent="0.25">
      <c r="A42" s="168" t="s">
        <v>80</v>
      </c>
      <c r="B42" s="169">
        <f>(B39*B40)/(7000)*(60)</f>
        <v>0</v>
      </c>
      <c r="C42" s="76" t="s">
        <v>166</v>
      </c>
      <c r="D42" s="168" t="s">
        <v>80</v>
      </c>
      <c r="E42" s="169">
        <f>(E39*E40)/(7000)*(60)</f>
        <v>0</v>
      </c>
    </row>
    <row r="43" spans="1:5" x14ac:dyDescent="0.25">
      <c r="A43" s="168" t="s">
        <v>81</v>
      </c>
      <c r="B43" s="169">
        <f>(B42*B41)/2000</f>
        <v>0</v>
      </c>
      <c r="C43" s="76" t="s">
        <v>166</v>
      </c>
      <c r="D43" s="168" t="s">
        <v>81</v>
      </c>
      <c r="E43" s="169">
        <f>(E42*E41)/2000</f>
        <v>0</v>
      </c>
    </row>
    <row r="44" spans="1:5" x14ac:dyDescent="0.25">
      <c r="A44" s="235" t="s">
        <v>167</v>
      </c>
      <c r="B44" s="235"/>
      <c r="C44" s="235"/>
      <c r="D44" s="235"/>
      <c r="E44" s="235"/>
    </row>
  </sheetData>
  <mergeCells count="18">
    <mergeCell ref="D9:E9"/>
    <mergeCell ref="A9:B9"/>
    <mergeCell ref="A31:B31"/>
    <mergeCell ref="A1:E1"/>
    <mergeCell ref="A2:E2"/>
    <mergeCell ref="A17:B17"/>
    <mergeCell ref="D3:E3"/>
    <mergeCell ref="D17:E17"/>
    <mergeCell ref="A3:B3"/>
    <mergeCell ref="A16:E16"/>
    <mergeCell ref="A44:E44"/>
    <mergeCell ref="A23:B23"/>
    <mergeCell ref="D23:E23"/>
    <mergeCell ref="A38:B38"/>
    <mergeCell ref="D31:E31"/>
    <mergeCell ref="D38:E38"/>
    <mergeCell ref="A30:E30"/>
    <mergeCell ref="A37:E37"/>
  </mergeCells>
  <dataValidations count="5">
    <dataValidation allowBlank="1" showInputMessage="1" showErrorMessage="1" prompt="Enter hourly rate for silo storage." sqref="B4 E4 B18 E18" xr:uid="{2EA43E68-D078-47CE-9F81-5CBEB4C2FE24}"/>
    <dataValidation allowBlank="1" showInputMessage="1" showErrorMessage="1" prompt="Enter annual rate for silo storage." sqref="B5 E5 B19 E19" xr:uid="{3CE77DBD-68C5-42FA-A9A4-CA9A85A7525D}"/>
    <dataValidation allowBlank="1" showInputMessage="1" showErrorMessage="1" prompt="Enter max unloading airflow rate in dry standard cubic feet per minute." sqref="B32 E32 B39 E39" xr:uid="{87D754C8-5433-4CF1-9800-8EDAAB9DADBC}"/>
    <dataValidation allowBlank="1" showInputMessage="1" showErrorMessage="1" prompt="Enter outlet grain loading of the filter." sqref="B33 E33 B40 E40" xr:uid="{5C0E18B6-C134-47E4-923E-F1660C237D59}"/>
    <dataValidation allowBlank="1" showInputMessage="1" showErrorMessage="1" prompt="Enter the annual hours of lime unloading operations." sqref="B34 E34 B41 E41" xr:uid="{93C5DAAC-92DD-4C02-8EAF-68C7B7596EBE}"/>
  </dataValidations>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12279-7918-443A-B8BF-7CAF3BED7A17}">
  <sheetPr codeName="Sheet5">
    <pageSetUpPr fitToPage="1"/>
  </sheetPr>
  <dimension ref="A1:K38"/>
  <sheetViews>
    <sheetView topLeftCell="A1048576" workbookViewId="0">
      <selection activeCell="I4" sqref="I4"/>
    </sheetView>
  </sheetViews>
  <sheetFormatPr defaultColWidth="0" defaultRowHeight="15" zeroHeight="1" x14ac:dyDescent="0.25"/>
  <cols>
    <col min="1" max="1" width="11" customWidth="1"/>
    <col min="2" max="2" width="12.7109375" customWidth="1"/>
    <col min="3" max="3" width="14.42578125" customWidth="1"/>
    <col min="4" max="4" width="8" customWidth="1"/>
    <col min="5" max="5" width="10.5703125" customWidth="1"/>
    <col min="6" max="6" width="12.7109375" customWidth="1"/>
    <col min="7" max="7" width="15.140625" customWidth="1"/>
    <col min="8" max="8" width="16.28515625" customWidth="1"/>
    <col min="9" max="11" width="9.140625" customWidth="1"/>
    <col min="12" max="16384" width="9.140625" hidden="1"/>
  </cols>
  <sheetData>
    <row r="1" spans="1:11" x14ac:dyDescent="0.25">
      <c r="A1" s="250" t="s">
        <v>194</v>
      </c>
      <c r="B1" s="250"/>
      <c r="C1" s="250"/>
      <c r="D1" s="250"/>
      <c r="E1" s="250"/>
      <c r="F1" s="250"/>
      <c r="G1" s="250"/>
      <c r="H1" s="250"/>
      <c r="I1" s="250"/>
      <c r="J1" s="250"/>
      <c r="K1" s="250"/>
    </row>
    <row r="2" spans="1:11" ht="56.25" customHeight="1" x14ac:dyDescent="0.25">
      <c r="A2" s="242" t="s">
        <v>214</v>
      </c>
      <c r="B2" s="242"/>
      <c r="C2" s="242"/>
      <c r="D2" s="242"/>
      <c r="E2" s="242"/>
      <c r="F2" s="242"/>
      <c r="G2" s="242"/>
      <c r="H2" s="242"/>
      <c r="I2" s="242"/>
      <c r="J2" s="242"/>
      <c r="K2" s="242"/>
    </row>
    <row r="3" spans="1:11" s="249" customFormat="1" ht="20.25" customHeight="1" thickBot="1" x14ac:dyDescent="0.3">
      <c r="A3" s="249" t="s">
        <v>213</v>
      </c>
    </row>
    <row r="4" spans="1:11" ht="78.75" customHeight="1" thickBot="1" x14ac:dyDescent="0.3">
      <c r="A4" s="28" t="s">
        <v>145</v>
      </c>
      <c r="B4" s="54" t="s">
        <v>140</v>
      </c>
      <c r="C4" s="54" t="s">
        <v>141</v>
      </c>
      <c r="D4" s="55" t="s">
        <v>146</v>
      </c>
      <c r="E4" s="54" t="s">
        <v>126</v>
      </c>
      <c r="F4" s="54" t="s">
        <v>142</v>
      </c>
      <c r="G4" s="54" t="s">
        <v>143</v>
      </c>
      <c r="H4" s="54" t="s">
        <v>144</v>
      </c>
      <c r="I4" s="54" t="s">
        <v>147</v>
      </c>
      <c r="J4" s="54" t="s">
        <v>148</v>
      </c>
      <c r="K4" s="54" t="s">
        <v>149</v>
      </c>
    </row>
    <row r="5" spans="1:11" x14ac:dyDescent="0.25">
      <c r="A5" s="28">
        <v>1</v>
      </c>
      <c r="B5" s="119"/>
      <c r="C5" s="120"/>
      <c r="D5" s="120"/>
      <c r="E5" s="121"/>
      <c r="F5" s="120"/>
      <c r="G5" s="120"/>
      <c r="H5" s="120"/>
      <c r="I5" s="122" t="str">
        <f>IF(AND(C5="Transfer/Drop Point",G5="Yes"),0.00014,IF(AND(C5="Transfer/Drop Point",G5="No"),0.003,IF(AND(C5="Screen",G5="Yes"),0.0022,IF(AND(C5="Screen",G5="No"),0.025,IF(AND(C5="Crusher",G5="Yes"),0.0012,IF(AND(C5="Crusher",G5="No"),0.0054,""))))))</f>
        <v/>
      </c>
      <c r="J5" s="122" t="str">
        <f t="shared" ref="J5:J14" si="0">IF(AND(C5="Transfer/Drop Point",G5="Yes"),0.000046,IF(AND(C5="Transfer/Drop Point",G5="No"),0.0011,IF(AND(C5="Screen",G5="Yes"),0.00074,IF(AND(C5="Screen",G5="No"),0.0087,IF(AND(C5="Crusher",G5="Yes"),0.00054,IF(AND(C5="Crusher",G5="No"),0.0024,""))))))</f>
        <v/>
      </c>
      <c r="K5" s="123" t="str">
        <f t="shared" ref="K5:K14" si="1">IF(AND(C5="Transfer/Drop Point",G5="Yes"),0.000013,IF(AND(C5="Transfer/Drop Point",G5="No"),0.000167,IF(AND(C5="Screen",G5="Yes"),0.00005,IF(AND(C5="Screen",G5="No"),0.001317,IF(AND(C5="Crusher",G5="Yes"),0.0001,IF(AND(C5="Crusher",G5="No"),0.000363,""))))))</f>
        <v/>
      </c>
    </row>
    <row r="6" spans="1:11" x14ac:dyDescent="0.25">
      <c r="A6" s="28">
        <v>2</v>
      </c>
      <c r="B6" s="124"/>
      <c r="C6" s="125"/>
      <c r="D6" s="125"/>
      <c r="E6" s="126"/>
      <c r="F6" s="125"/>
      <c r="G6" s="125"/>
      <c r="H6" s="125"/>
      <c r="I6" s="127" t="str">
        <f>IF(AND(C6="Transfer/Drop Point",G6="Yes"),0.00014,IF(AND(C6="Transfer/Drop Point",G6="No"),0.003,IF(AND(C6="Screen",G6="Yes"),0.0022,IF(AND(C6="Screen",G6="No"),0.025,IF(AND(C6="Crusher",G6="Yes"),0.0012,IF(AND(C6="Crusher",G6="No"),0.0054,""))))))</f>
        <v/>
      </c>
      <c r="J6" s="127" t="str">
        <f t="shared" si="0"/>
        <v/>
      </c>
      <c r="K6" s="128" t="str">
        <f t="shared" si="1"/>
        <v/>
      </c>
    </row>
    <row r="7" spans="1:11" x14ac:dyDescent="0.25">
      <c r="A7" s="28">
        <v>3</v>
      </c>
      <c r="B7" s="124"/>
      <c r="C7" s="125"/>
      <c r="D7" s="125"/>
      <c r="E7" s="126"/>
      <c r="F7" s="125"/>
      <c r="G7" s="125"/>
      <c r="H7" s="125"/>
      <c r="I7" s="127" t="str">
        <f t="shared" ref="I7:I14" si="2">IF(AND(C7="Transfer/Drop Point",G7="Yes"),0.00014,IF(AND(C7="Transfer/Drop Point",G7="No"),0.003,IF(AND(C7="Screen",G7="Yes"),0.0022,IF(AND(C7="Screen",G7="No"),0.025,IF(AND(C7="Crusher",G7="Yes"),0.0012,IF(AND(C7="Crusher",G7="No"),0.0054,""))))))</f>
        <v/>
      </c>
      <c r="J7" s="127" t="str">
        <f t="shared" si="0"/>
        <v/>
      </c>
      <c r="K7" s="128" t="str">
        <f t="shared" si="1"/>
        <v/>
      </c>
    </row>
    <row r="8" spans="1:11" x14ac:dyDescent="0.25">
      <c r="A8" s="28">
        <v>4</v>
      </c>
      <c r="B8" s="124"/>
      <c r="C8" s="125"/>
      <c r="D8" s="125"/>
      <c r="E8" s="126"/>
      <c r="F8" s="125"/>
      <c r="G8" s="125"/>
      <c r="H8" s="125"/>
      <c r="I8" s="127" t="str">
        <f t="shared" si="2"/>
        <v/>
      </c>
      <c r="J8" s="127" t="str">
        <f t="shared" si="0"/>
        <v/>
      </c>
      <c r="K8" s="128" t="str">
        <f t="shared" si="1"/>
        <v/>
      </c>
    </row>
    <row r="9" spans="1:11" x14ac:dyDescent="0.25">
      <c r="A9" s="28">
        <v>5</v>
      </c>
      <c r="B9" s="124"/>
      <c r="C9" s="125"/>
      <c r="D9" s="125"/>
      <c r="E9" s="126"/>
      <c r="F9" s="125"/>
      <c r="G9" s="125"/>
      <c r="H9" s="125"/>
      <c r="I9" s="127" t="str">
        <f t="shared" si="2"/>
        <v/>
      </c>
      <c r="J9" s="127" t="str">
        <f t="shared" si="0"/>
        <v/>
      </c>
      <c r="K9" s="128" t="str">
        <f t="shared" si="1"/>
        <v/>
      </c>
    </row>
    <row r="10" spans="1:11" x14ac:dyDescent="0.25">
      <c r="A10" s="28">
        <v>6</v>
      </c>
      <c r="B10" s="124"/>
      <c r="C10" s="125"/>
      <c r="D10" s="125"/>
      <c r="E10" s="126"/>
      <c r="F10" s="125"/>
      <c r="G10" s="125"/>
      <c r="H10" s="125"/>
      <c r="I10" s="127" t="str">
        <f t="shared" si="2"/>
        <v/>
      </c>
      <c r="J10" s="127" t="str">
        <f t="shared" si="0"/>
        <v/>
      </c>
      <c r="K10" s="128" t="str">
        <f t="shared" si="1"/>
        <v/>
      </c>
    </row>
    <row r="11" spans="1:11" x14ac:dyDescent="0.25">
      <c r="A11" s="28">
        <v>7</v>
      </c>
      <c r="B11" s="124"/>
      <c r="C11" s="125"/>
      <c r="D11" s="125"/>
      <c r="E11" s="126"/>
      <c r="F11" s="125"/>
      <c r="G11" s="125"/>
      <c r="H11" s="125"/>
      <c r="I11" s="127" t="str">
        <f t="shared" si="2"/>
        <v/>
      </c>
      <c r="J11" s="127" t="str">
        <f t="shared" si="0"/>
        <v/>
      </c>
      <c r="K11" s="128" t="str">
        <f t="shared" si="1"/>
        <v/>
      </c>
    </row>
    <row r="12" spans="1:11" x14ac:dyDescent="0.25">
      <c r="A12" s="28">
        <v>8</v>
      </c>
      <c r="B12" s="124"/>
      <c r="C12" s="125"/>
      <c r="D12" s="125"/>
      <c r="E12" s="126"/>
      <c r="F12" s="125"/>
      <c r="G12" s="125"/>
      <c r="H12" s="125"/>
      <c r="I12" s="127" t="str">
        <f t="shared" si="2"/>
        <v/>
      </c>
      <c r="J12" s="127" t="str">
        <f t="shared" si="0"/>
        <v/>
      </c>
      <c r="K12" s="128" t="str">
        <f t="shared" si="1"/>
        <v/>
      </c>
    </row>
    <row r="13" spans="1:11" x14ac:dyDescent="0.25">
      <c r="A13" s="28">
        <v>9</v>
      </c>
      <c r="B13" s="124"/>
      <c r="C13" s="125"/>
      <c r="D13" s="125"/>
      <c r="E13" s="126"/>
      <c r="F13" s="125"/>
      <c r="G13" s="125"/>
      <c r="H13" s="125"/>
      <c r="I13" s="127" t="str">
        <f t="shared" si="2"/>
        <v/>
      </c>
      <c r="J13" s="127" t="str">
        <f t="shared" si="0"/>
        <v/>
      </c>
      <c r="K13" s="128" t="str">
        <f t="shared" si="1"/>
        <v/>
      </c>
    </row>
    <row r="14" spans="1:11" ht="15.75" thickBot="1" x14ac:dyDescent="0.3">
      <c r="A14" s="28">
        <v>10</v>
      </c>
      <c r="B14" s="129"/>
      <c r="C14" s="130"/>
      <c r="D14" s="130"/>
      <c r="E14" s="131"/>
      <c r="F14" s="130"/>
      <c r="G14" s="130"/>
      <c r="H14" s="130"/>
      <c r="I14" s="132" t="str">
        <f t="shared" si="2"/>
        <v/>
      </c>
      <c r="J14" s="132" t="str">
        <f t="shared" si="0"/>
        <v/>
      </c>
      <c r="K14" s="133" t="str">
        <f t="shared" si="1"/>
        <v/>
      </c>
    </row>
    <row r="15" spans="1:11" ht="15.75" thickBot="1" x14ac:dyDescent="0.3">
      <c r="A15" s="251" t="s">
        <v>166</v>
      </c>
      <c r="B15" s="252"/>
      <c r="C15" s="252"/>
      <c r="D15" s="252"/>
      <c r="E15" s="252"/>
      <c r="F15" s="252"/>
      <c r="G15" s="252"/>
      <c r="H15" s="252"/>
      <c r="I15" s="252"/>
      <c r="J15" s="252"/>
      <c r="K15" s="252"/>
    </row>
    <row r="16" spans="1:11" ht="45.75" thickBot="1" x14ac:dyDescent="0.3">
      <c r="A16" s="56" t="s">
        <v>150</v>
      </c>
      <c r="B16" s="54" t="s">
        <v>101</v>
      </c>
      <c r="C16" s="247" t="s">
        <v>166</v>
      </c>
      <c r="D16" s="235"/>
      <c r="E16" s="235"/>
      <c r="F16" s="235"/>
      <c r="G16" s="235"/>
      <c r="H16" s="235"/>
      <c r="I16" s="235"/>
      <c r="J16" s="235"/>
      <c r="K16" s="235"/>
    </row>
    <row r="17" spans="1:11" x14ac:dyDescent="0.25">
      <c r="A17" s="134" t="s">
        <v>151</v>
      </c>
      <c r="B17" s="135">
        <v>0</v>
      </c>
      <c r="C17" s="247" t="s">
        <v>166</v>
      </c>
      <c r="D17" s="235"/>
      <c r="E17" s="235"/>
      <c r="F17" s="235"/>
      <c r="G17" s="235"/>
      <c r="H17" s="235"/>
      <c r="I17" s="235"/>
      <c r="J17" s="235"/>
      <c r="K17" s="235"/>
    </row>
    <row r="18" spans="1:11" ht="15" customHeight="1" x14ac:dyDescent="0.25">
      <c r="A18" s="136" t="s">
        <v>112</v>
      </c>
      <c r="B18" s="137">
        <v>50</v>
      </c>
      <c r="C18" s="247" t="s">
        <v>166</v>
      </c>
      <c r="D18" s="235"/>
      <c r="E18" s="235"/>
      <c r="F18" s="235"/>
      <c r="G18" s="235"/>
      <c r="H18" s="235"/>
      <c r="I18" s="235"/>
      <c r="J18" s="235"/>
      <c r="K18" s="235"/>
    </row>
    <row r="19" spans="1:11" x14ac:dyDescent="0.25">
      <c r="A19" s="136" t="s">
        <v>152</v>
      </c>
      <c r="B19" s="137">
        <v>70</v>
      </c>
      <c r="C19" s="247" t="s">
        <v>166</v>
      </c>
      <c r="D19" s="235"/>
      <c r="E19" s="235"/>
      <c r="F19" s="235"/>
      <c r="G19" s="235"/>
      <c r="H19" s="235"/>
      <c r="I19" s="235"/>
      <c r="J19" s="235"/>
      <c r="K19" s="235"/>
    </row>
    <row r="20" spans="1:11" ht="15" customHeight="1" x14ac:dyDescent="0.25">
      <c r="A20" s="136" t="s">
        <v>153</v>
      </c>
      <c r="B20" s="137">
        <v>80</v>
      </c>
      <c r="C20" s="247" t="s">
        <v>166</v>
      </c>
      <c r="D20" s="235"/>
      <c r="E20" s="235"/>
      <c r="F20" s="235"/>
      <c r="G20" s="235"/>
      <c r="H20" s="235"/>
      <c r="I20" s="235"/>
      <c r="J20" s="235"/>
      <c r="K20" s="235"/>
    </row>
    <row r="21" spans="1:11" ht="15" customHeight="1" x14ac:dyDescent="0.25">
      <c r="A21" s="136" t="s">
        <v>154</v>
      </c>
      <c r="B21" s="137" t="s">
        <v>155</v>
      </c>
      <c r="C21" s="247" t="s">
        <v>166</v>
      </c>
      <c r="D21" s="235"/>
      <c r="E21" s="235"/>
      <c r="F21" s="235"/>
      <c r="G21" s="235"/>
      <c r="H21" s="235"/>
      <c r="I21" s="235"/>
      <c r="J21" s="235"/>
      <c r="K21" s="235"/>
    </row>
    <row r="22" spans="1:11" ht="42.75" customHeight="1" thickBot="1" x14ac:dyDescent="0.3">
      <c r="A22" s="138" t="s">
        <v>156</v>
      </c>
      <c r="B22" s="139">
        <v>95</v>
      </c>
      <c r="C22" s="247" t="s">
        <v>166</v>
      </c>
      <c r="D22" s="235"/>
      <c r="E22" s="235"/>
      <c r="F22" s="235"/>
      <c r="G22" s="235"/>
      <c r="H22" s="235"/>
      <c r="I22" s="235"/>
      <c r="J22" s="235"/>
      <c r="K22" s="235"/>
    </row>
    <row r="23" spans="1:11" x14ac:dyDescent="0.25">
      <c r="A23" s="253" t="s">
        <v>166</v>
      </c>
      <c r="B23" s="254"/>
      <c r="C23" s="254"/>
      <c r="D23" s="254"/>
      <c r="E23" s="254"/>
      <c r="F23" s="254"/>
      <c r="G23" s="254"/>
      <c r="H23" s="254"/>
      <c r="I23" s="254"/>
      <c r="J23" s="254"/>
      <c r="K23" s="254"/>
    </row>
    <row r="24" spans="1:11" ht="16.5" thickBot="1" x14ac:dyDescent="0.3">
      <c r="A24" s="248" t="s">
        <v>170</v>
      </c>
      <c r="B24" s="248"/>
      <c r="C24" s="248"/>
      <c r="D24" s="248"/>
      <c r="E24" s="248"/>
      <c r="F24" s="248"/>
      <c r="G24" s="248"/>
      <c r="H24" s="248"/>
      <c r="I24" s="248"/>
      <c r="J24" s="248"/>
      <c r="K24" s="248"/>
    </row>
    <row r="25" spans="1:11" ht="33.75" customHeight="1" x14ac:dyDescent="0.25">
      <c r="A25" s="140" t="s">
        <v>157</v>
      </c>
      <c r="B25" s="141" t="s">
        <v>176</v>
      </c>
      <c r="C25" s="141" t="s">
        <v>175</v>
      </c>
      <c r="D25" s="141" t="s">
        <v>174</v>
      </c>
      <c r="E25" s="141" t="s">
        <v>173</v>
      </c>
      <c r="F25" s="141" t="s">
        <v>172</v>
      </c>
      <c r="G25" s="142" t="s">
        <v>171</v>
      </c>
      <c r="H25" s="245" t="s">
        <v>166</v>
      </c>
      <c r="I25" s="246"/>
      <c r="J25" s="246"/>
      <c r="K25" s="246"/>
    </row>
    <row r="26" spans="1:11" x14ac:dyDescent="0.25">
      <c r="A26" s="143">
        <v>1</v>
      </c>
      <c r="B26" s="169" t="str">
        <f t="shared" ref="B26:B35" si="3">IF(I5="","",D5*I5*F5*((100-H5)/100))</f>
        <v/>
      </c>
      <c r="C26" s="169" t="str">
        <f t="shared" ref="C26:C35" si="4">IF(I5="","", E5*I5*F5*(1/2000)*((100-H5)/100))</f>
        <v/>
      </c>
      <c r="D26" s="169" t="str">
        <f t="shared" ref="D26:D35" si="5">IF(J5="","",D5*J5*F5*((100-H5)/100))</f>
        <v/>
      </c>
      <c r="E26" s="169" t="str">
        <f t="shared" ref="E26:E35" si="6">IF(J5="","",E5*J5*F5*(1/2000)*((100-H5)/100))</f>
        <v/>
      </c>
      <c r="F26" s="169" t="str">
        <f t="shared" ref="F26:F35" si="7">IF(K5="","",D5*K5*F5*((100-H5)/100))</f>
        <v/>
      </c>
      <c r="G26" s="170" t="str">
        <f t="shared" ref="G26:G35" si="8">IF(K5="","",E5*K5*F5*(1/2000)*((100-H5)/100))</f>
        <v/>
      </c>
      <c r="H26" s="245" t="s">
        <v>166</v>
      </c>
      <c r="I26" s="246"/>
      <c r="J26" s="246"/>
      <c r="K26" s="246"/>
    </row>
    <row r="27" spans="1:11" x14ac:dyDescent="0.25">
      <c r="A27" s="143">
        <v>2</v>
      </c>
      <c r="B27" s="169" t="str">
        <f t="shared" si="3"/>
        <v/>
      </c>
      <c r="C27" s="169" t="str">
        <f t="shared" si="4"/>
        <v/>
      </c>
      <c r="D27" s="169" t="str">
        <f t="shared" si="5"/>
        <v/>
      </c>
      <c r="E27" s="169" t="str">
        <f t="shared" si="6"/>
        <v/>
      </c>
      <c r="F27" s="169" t="str">
        <f t="shared" si="7"/>
        <v/>
      </c>
      <c r="G27" s="170" t="str">
        <f t="shared" si="8"/>
        <v/>
      </c>
      <c r="H27" s="245" t="s">
        <v>166</v>
      </c>
      <c r="I27" s="246"/>
      <c r="J27" s="246"/>
      <c r="K27" s="246"/>
    </row>
    <row r="28" spans="1:11" x14ac:dyDescent="0.25">
      <c r="A28" s="143">
        <v>3</v>
      </c>
      <c r="B28" s="169" t="str">
        <f t="shared" si="3"/>
        <v/>
      </c>
      <c r="C28" s="169" t="str">
        <f t="shared" si="4"/>
        <v/>
      </c>
      <c r="D28" s="169" t="str">
        <f t="shared" si="5"/>
        <v/>
      </c>
      <c r="E28" s="169" t="str">
        <f t="shared" si="6"/>
        <v/>
      </c>
      <c r="F28" s="169" t="str">
        <f t="shared" si="7"/>
        <v/>
      </c>
      <c r="G28" s="170" t="str">
        <f t="shared" si="8"/>
        <v/>
      </c>
      <c r="H28" s="245" t="s">
        <v>166</v>
      </c>
      <c r="I28" s="246"/>
      <c r="J28" s="246"/>
      <c r="K28" s="246"/>
    </row>
    <row r="29" spans="1:11" x14ac:dyDescent="0.25">
      <c r="A29" s="143">
        <v>4</v>
      </c>
      <c r="B29" s="169" t="str">
        <f t="shared" si="3"/>
        <v/>
      </c>
      <c r="C29" s="169" t="str">
        <f t="shared" si="4"/>
        <v/>
      </c>
      <c r="D29" s="169" t="str">
        <f t="shared" si="5"/>
        <v/>
      </c>
      <c r="E29" s="169" t="str">
        <f t="shared" si="6"/>
        <v/>
      </c>
      <c r="F29" s="169" t="str">
        <f t="shared" si="7"/>
        <v/>
      </c>
      <c r="G29" s="170" t="str">
        <f t="shared" si="8"/>
        <v/>
      </c>
      <c r="H29" s="245" t="s">
        <v>166</v>
      </c>
      <c r="I29" s="246"/>
      <c r="J29" s="246"/>
      <c r="K29" s="246"/>
    </row>
    <row r="30" spans="1:11" x14ac:dyDescent="0.25">
      <c r="A30" s="143">
        <v>5</v>
      </c>
      <c r="B30" s="169" t="str">
        <f t="shared" si="3"/>
        <v/>
      </c>
      <c r="C30" s="169" t="str">
        <f t="shared" si="4"/>
        <v/>
      </c>
      <c r="D30" s="169" t="str">
        <f t="shared" si="5"/>
        <v/>
      </c>
      <c r="E30" s="169" t="str">
        <f t="shared" si="6"/>
        <v/>
      </c>
      <c r="F30" s="169" t="str">
        <f t="shared" si="7"/>
        <v/>
      </c>
      <c r="G30" s="170" t="str">
        <f t="shared" si="8"/>
        <v/>
      </c>
      <c r="H30" s="245" t="s">
        <v>166</v>
      </c>
      <c r="I30" s="246"/>
      <c r="J30" s="246"/>
      <c r="K30" s="246"/>
    </row>
    <row r="31" spans="1:11" x14ac:dyDescent="0.25">
      <c r="A31" s="143">
        <v>6</v>
      </c>
      <c r="B31" s="169" t="str">
        <f t="shared" si="3"/>
        <v/>
      </c>
      <c r="C31" s="169" t="str">
        <f t="shared" si="4"/>
        <v/>
      </c>
      <c r="D31" s="169" t="str">
        <f t="shared" si="5"/>
        <v/>
      </c>
      <c r="E31" s="169" t="str">
        <f t="shared" si="6"/>
        <v/>
      </c>
      <c r="F31" s="169" t="str">
        <f t="shared" si="7"/>
        <v/>
      </c>
      <c r="G31" s="170" t="str">
        <f t="shared" si="8"/>
        <v/>
      </c>
      <c r="H31" s="245" t="s">
        <v>166</v>
      </c>
      <c r="I31" s="246"/>
      <c r="J31" s="246"/>
      <c r="K31" s="246"/>
    </row>
    <row r="32" spans="1:11" x14ac:dyDescent="0.25">
      <c r="A32" s="143">
        <v>7</v>
      </c>
      <c r="B32" s="169" t="str">
        <f t="shared" si="3"/>
        <v/>
      </c>
      <c r="C32" s="169" t="str">
        <f t="shared" si="4"/>
        <v/>
      </c>
      <c r="D32" s="169" t="str">
        <f t="shared" si="5"/>
        <v/>
      </c>
      <c r="E32" s="169" t="str">
        <f t="shared" si="6"/>
        <v/>
      </c>
      <c r="F32" s="169" t="str">
        <f t="shared" si="7"/>
        <v/>
      </c>
      <c r="G32" s="170" t="str">
        <f t="shared" si="8"/>
        <v/>
      </c>
      <c r="H32" s="245" t="s">
        <v>166</v>
      </c>
      <c r="I32" s="246"/>
      <c r="J32" s="246"/>
      <c r="K32" s="246"/>
    </row>
    <row r="33" spans="1:11" x14ac:dyDescent="0.25">
      <c r="A33" s="143">
        <v>8</v>
      </c>
      <c r="B33" s="169" t="str">
        <f t="shared" si="3"/>
        <v/>
      </c>
      <c r="C33" s="169" t="str">
        <f t="shared" si="4"/>
        <v/>
      </c>
      <c r="D33" s="169" t="str">
        <f t="shared" si="5"/>
        <v/>
      </c>
      <c r="E33" s="169" t="str">
        <f t="shared" si="6"/>
        <v/>
      </c>
      <c r="F33" s="169" t="str">
        <f t="shared" si="7"/>
        <v/>
      </c>
      <c r="G33" s="170" t="str">
        <f t="shared" si="8"/>
        <v/>
      </c>
      <c r="H33" s="245" t="s">
        <v>166</v>
      </c>
      <c r="I33" s="246"/>
      <c r="J33" s="246"/>
      <c r="K33" s="246"/>
    </row>
    <row r="34" spans="1:11" x14ac:dyDescent="0.25">
      <c r="A34" s="143">
        <v>9</v>
      </c>
      <c r="B34" s="169" t="str">
        <f t="shared" si="3"/>
        <v/>
      </c>
      <c r="C34" s="169" t="str">
        <f t="shared" si="4"/>
        <v/>
      </c>
      <c r="D34" s="169" t="str">
        <f t="shared" si="5"/>
        <v/>
      </c>
      <c r="E34" s="169" t="str">
        <f t="shared" si="6"/>
        <v/>
      </c>
      <c r="F34" s="169" t="str">
        <f t="shared" si="7"/>
        <v/>
      </c>
      <c r="G34" s="170" t="str">
        <f t="shared" si="8"/>
        <v/>
      </c>
      <c r="H34" s="245" t="s">
        <v>166</v>
      </c>
      <c r="I34" s="246"/>
      <c r="J34" s="246"/>
      <c r="K34" s="246"/>
    </row>
    <row r="35" spans="1:11" ht="15.75" thickBot="1" x14ac:dyDescent="0.3">
      <c r="A35" s="144">
        <v>10</v>
      </c>
      <c r="B35" s="171" t="str">
        <f t="shared" si="3"/>
        <v/>
      </c>
      <c r="C35" s="171" t="str">
        <f t="shared" si="4"/>
        <v/>
      </c>
      <c r="D35" s="171" t="str">
        <f t="shared" si="5"/>
        <v/>
      </c>
      <c r="E35" s="171" t="str">
        <f t="shared" si="6"/>
        <v/>
      </c>
      <c r="F35" s="171" t="str">
        <f t="shared" si="7"/>
        <v/>
      </c>
      <c r="G35" s="172" t="str">
        <f t="shared" si="8"/>
        <v/>
      </c>
      <c r="H35" s="245" t="s">
        <v>166</v>
      </c>
      <c r="I35" s="246"/>
      <c r="J35" s="246"/>
      <c r="K35" s="246"/>
    </row>
    <row r="36" spans="1:11" ht="15.75" thickBot="1" x14ac:dyDescent="0.3">
      <c r="A36" s="57" t="s">
        <v>158</v>
      </c>
      <c r="B36" s="58">
        <f t="shared" ref="B36:G36" si="9">SUM(B26:B35)</f>
        <v>0</v>
      </c>
      <c r="C36" s="58">
        <f t="shared" si="9"/>
        <v>0</v>
      </c>
      <c r="D36" s="58">
        <f t="shared" si="9"/>
        <v>0</v>
      </c>
      <c r="E36" s="58">
        <f t="shared" si="9"/>
        <v>0</v>
      </c>
      <c r="F36" s="58">
        <f t="shared" si="9"/>
        <v>0</v>
      </c>
      <c r="G36" s="58">
        <f t="shared" si="9"/>
        <v>0</v>
      </c>
      <c r="H36" s="245" t="s">
        <v>166</v>
      </c>
      <c r="I36" s="246"/>
      <c r="J36" s="246"/>
      <c r="K36" s="246"/>
    </row>
    <row r="37" spans="1:11" x14ac:dyDescent="0.25">
      <c r="A37" s="235" t="s">
        <v>167</v>
      </c>
      <c r="B37" s="235"/>
      <c r="C37" s="235"/>
      <c r="D37" s="235"/>
      <c r="E37" s="235"/>
      <c r="F37" s="235"/>
      <c r="G37" s="235"/>
      <c r="H37" s="235"/>
      <c r="I37" s="235"/>
      <c r="J37" s="235"/>
      <c r="K37" s="235"/>
    </row>
    <row r="38" spans="1:11" hidden="1" x14ac:dyDescent="0.25"/>
  </sheetData>
  <mergeCells count="26">
    <mergeCell ref="A2:K2"/>
    <mergeCell ref="A3:XFD3"/>
    <mergeCell ref="A1:K1"/>
    <mergeCell ref="A15:K15"/>
    <mergeCell ref="A23:K23"/>
    <mergeCell ref="C16:K16"/>
    <mergeCell ref="C17:K17"/>
    <mergeCell ref="C18:K18"/>
    <mergeCell ref="C19:K19"/>
    <mergeCell ref="C20:K20"/>
    <mergeCell ref="H32:K32"/>
    <mergeCell ref="C21:K21"/>
    <mergeCell ref="C22:K22"/>
    <mergeCell ref="H25:K25"/>
    <mergeCell ref="H26:K26"/>
    <mergeCell ref="H27:K27"/>
    <mergeCell ref="A24:K24"/>
    <mergeCell ref="H28:K28"/>
    <mergeCell ref="H29:K29"/>
    <mergeCell ref="H30:K30"/>
    <mergeCell ref="H31:K31"/>
    <mergeCell ref="H33:K33"/>
    <mergeCell ref="H34:K34"/>
    <mergeCell ref="H35:K35"/>
    <mergeCell ref="H36:K36"/>
    <mergeCell ref="A37:K37"/>
  </mergeCells>
  <conditionalFormatting sqref="H5">
    <cfRule type="expression" dxfId="12" priority="10">
      <formula>#REF!="No"</formula>
    </cfRule>
  </conditionalFormatting>
  <conditionalFormatting sqref="H6">
    <cfRule type="expression" dxfId="11" priority="9">
      <formula>$G$5="No"</formula>
    </cfRule>
  </conditionalFormatting>
  <conditionalFormatting sqref="H7">
    <cfRule type="expression" dxfId="10" priority="8">
      <formula>$G$6="No"</formula>
    </cfRule>
  </conditionalFormatting>
  <conditionalFormatting sqref="H8">
    <cfRule type="expression" dxfId="9" priority="7">
      <formula>$G$7="No"</formula>
    </cfRule>
  </conditionalFormatting>
  <conditionalFormatting sqref="H9">
    <cfRule type="expression" dxfId="8" priority="6">
      <formula>$G$8="No"</formula>
    </cfRule>
  </conditionalFormatting>
  <conditionalFormatting sqref="H10">
    <cfRule type="expression" dxfId="7" priority="5">
      <formula>$G$9="No"</formula>
    </cfRule>
  </conditionalFormatting>
  <conditionalFormatting sqref="H11">
    <cfRule type="expression" dxfId="6" priority="4">
      <formula>$G$10="No"</formula>
    </cfRule>
  </conditionalFormatting>
  <conditionalFormatting sqref="H12">
    <cfRule type="expression" dxfId="5" priority="3">
      <formula>$G$11="No"</formula>
    </cfRule>
  </conditionalFormatting>
  <conditionalFormatting sqref="H13">
    <cfRule type="expression" dxfId="4" priority="2">
      <formula>$G$12="No"</formula>
    </cfRule>
  </conditionalFormatting>
  <conditionalFormatting sqref="H14">
    <cfRule type="expression" dxfId="3" priority="1">
      <formula>$G$13="No"</formula>
    </cfRule>
  </conditionalFormatting>
  <dataValidations xWindow="377" yWindow="520" count="4">
    <dataValidation allowBlank="1" showInputMessage="1" showErrorMessage="1" prompt="Insert emission point number" sqref="B5:B14" xr:uid="{810470C5-D6ED-4AF6-8474-7E54278E76C6}"/>
    <dataValidation allowBlank="1" showInputMessage="1" showErrorMessage="1" prompt="Input tons per hour" sqref="D5:D14" xr:uid="{C7528D94-8C46-40C4-B11C-966701AAF69D}"/>
    <dataValidation allowBlank="1" showInputMessage="1" showErrorMessage="1" prompt="Input tons per year" sqref="E5:E14" xr:uid="{CA4A68C5-B6DB-4057-9B92-520F8B05EAD4}"/>
    <dataValidation allowBlank="1" showInputMessage="1" showErrorMessage="1" prompt="Enter custom control percentage  only if using uncontrolled factors." sqref="H5:H14" xr:uid="{B463C948-E07C-40A9-9719-C9896A0386F0}"/>
  </dataValidations>
  <pageMargins left="0.7" right="0.7" top="0.75" bottom="0.75" header="0.3" footer="0.3"/>
  <pageSetup scale="69" orientation="landscape" r:id="rId1"/>
  <extLst>
    <ext xmlns:x14="http://schemas.microsoft.com/office/spreadsheetml/2009/9/main" uri="{CCE6A557-97BC-4b89-ADB6-D9C93CAAB3DF}">
      <x14:dataValidations xmlns:xm="http://schemas.microsoft.com/office/excel/2006/main" xWindow="377" yWindow="520" count="3">
        <x14:dataValidation type="list" allowBlank="1" showInputMessage="1" showErrorMessage="1" prompt="Select emission point type" xr:uid="{21D2894B-ADD0-4DED-85B9-4F812B64352C}">
          <x14:formula1>
            <xm:f>'Drop Down lists'!$A$18:$A$20</xm:f>
          </x14:formula1>
          <xm:sqref>C5:C14</xm:sqref>
        </x14:dataValidation>
        <x14:dataValidation type="list" allowBlank="1" showInputMessage="1" showErrorMessage="1" prompt="Select number of like emission points" xr:uid="{FE753C1B-EBF4-4F32-8C41-C91132E91D17}">
          <x14:formula1>
            <xm:f>'Drop Down lists'!$A$25:$A$44</xm:f>
          </x14:formula1>
          <xm:sqref>F5:F14</xm:sqref>
        </x14:dataValidation>
        <x14:dataValidation type="list" allowBlank="1" showInputMessage="1" showErrorMessage="1" prompt="If you used controlled emission factors, select yes. If not, select no." xr:uid="{10B90156-2DDC-446B-A4A5-3241E185E1C9}">
          <x14:formula1>
            <xm:f>'Drop Down lists'!$A$22:$A$23</xm:f>
          </x14:formula1>
          <xm:sqref>G5:G14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970-4D33-4AE8-849D-3D95B72E160C}">
  <sheetPr codeName="Sheet6">
    <pageSetUpPr fitToPage="1"/>
  </sheetPr>
  <dimension ref="A1:E22"/>
  <sheetViews>
    <sheetView workbookViewId="0">
      <selection sqref="A1:E1"/>
    </sheetView>
  </sheetViews>
  <sheetFormatPr defaultColWidth="0" defaultRowHeight="15" zeroHeight="1" x14ac:dyDescent="0.25"/>
  <cols>
    <col min="1" max="1" width="30.7109375" customWidth="1"/>
    <col min="2" max="2" width="13" customWidth="1"/>
    <col min="3" max="3" width="12.28515625" customWidth="1"/>
    <col min="4" max="4" width="11.85546875" customWidth="1"/>
    <col min="5" max="5" width="11.5703125" customWidth="1"/>
    <col min="6" max="16384" width="9.140625" hidden="1"/>
  </cols>
  <sheetData>
    <row r="1" spans="1:5" x14ac:dyDescent="0.25">
      <c r="A1" s="241" t="s">
        <v>164</v>
      </c>
      <c r="B1" s="241"/>
      <c r="C1" s="241"/>
      <c r="D1" s="241"/>
      <c r="E1" s="241"/>
    </row>
    <row r="2" spans="1:5" ht="58.5" customHeight="1" thickBot="1" x14ac:dyDescent="0.3">
      <c r="A2" s="255" t="s">
        <v>215</v>
      </c>
      <c r="B2" s="255"/>
      <c r="C2" s="255"/>
      <c r="D2" s="255"/>
      <c r="E2" s="255"/>
    </row>
    <row r="3" spans="1:5" ht="16.5" thickBot="1" x14ac:dyDescent="0.3">
      <c r="A3" s="160" t="s">
        <v>177</v>
      </c>
      <c r="B3" s="161" t="s">
        <v>178</v>
      </c>
      <c r="C3" s="161" t="s">
        <v>179</v>
      </c>
      <c r="D3" s="161" t="s">
        <v>180</v>
      </c>
      <c r="E3" s="161" t="s">
        <v>181</v>
      </c>
    </row>
    <row r="4" spans="1:5" x14ac:dyDescent="0.25">
      <c r="A4" s="145" t="s">
        <v>100</v>
      </c>
      <c r="B4" s="146"/>
      <c r="C4" s="146"/>
      <c r="D4" s="146"/>
      <c r="E4" s="147"/>
    </row>
    <row r="5" spans="1:5" x14ac:dyDescent="0.25">
      <c r="A5" s="148" t="s">
        <v>101</v>
      </c>
      <c r="B5" s="149"/>
      <c r="C5" s="149"/>
      <c r="D5" s="149"/>
      <c r="E5" s="150"/>
    </row>
    <row r="6" spans="1:5" x14ac:dyDescent="0.25">
      <c r="A6" s="148" t="s">
        <v>102</v>
      </c>
      <c r="B6" s="151"/>
      <c r="C6" s="151"/>
      <c r="D6" s="151"/>
      <c r="E6" s="152"/>
    </row>
    <row r="7" spans="1:5" x14ac:dyDescent="0.25">
      <c r="A7" s="148" t="s">
        <v>103</v>
      </c>
      <c r="B7" s="153">
        <f>3.5*(365-B6)*B4*(1/2000)*(100-B5)/100</f>
        <v>0</v>
      </c>
      <c r="C7" s="153">
        <f t="shared" ref="C7:E7" si="0">3.5*(365-C6)*C4*(1/2000)*(100-C5)/100</f>
        <v>0</v>
      </c>
      <c r="D7" s="153">
        <f t="shared" si="0"/>
        <v>0</v>
      </c>
      <c r="E7" s="154">
        <f t="shared" si="0"/>
        <v>0</v>
      </c>
    </row>
    <row r="8" spans="1:5" ht="18" x14ac:dyDescent="0.35">
      <c r="A8" s="148" t="s">
        <v>104</v>
      </c>
      <c r="B8" s="153">
        <f>B7*0.5</f>
        <v>0</v>
      </c>
      <c r="C8" s="153">
        <f t="shared" ref="C8:E8" si="1">C7*0.5</f>
        <v>0</v>
      </c>
      <c r="D8" s="153">
        <f t="shared" si="1"/>
        <v>0</v>
      </c>
      <c r="E8" s="154">
        <f t="shared" si="1"/>
        <v>0</v>
      </c>
    </row>
    <row r="9" spans="1:5" ht="18" x14ac:dyDescent="0.35">
      <c r="A9" s="148" t="s">
        <v>105</v>
      </c>
      <c r="B9" s="153">
        <f>B8*0.15</f>
        <v>0</v>
      </c>
      <c r="C9" s="153">
        <f t="shared" ref="C9:E9" si="2">C8*0.15</f>
        <v>0</v>
      </c>
      <c r="D9" s="153">
        <f t="shared" si="2"/>
        <v>0</v>
      </c>
      <c r="E9" s="154">
        <f t="shared" si="2"/>
        <v>0</v>
      </c>
    </row>
    <row r="10" spans="1:5" x14ac:dyDescent="0.25">
      <c r="A10" s="148" t="s">
        <v>106</v>
      </c>
      <c r="B10" s="153">
        <f>13.2*B6*B4*(1/2000)*(100-B5)/100</f>
        <v>0</v>
      </c>
      <c r="C10" s="153">
        <f t="shared" ref="C10:E10" si="3">13.2*C6*C4*(1/2000)*(100-C5)/100</f>
        <v>0</v>
      </c>
      <c r="D10" s="153">
        <f t="shared" si="3"/>
        <v>0</v>
      </c>
      <c r="E10" s="154">
        <f t="shared" si="3"/>
        <v>0</v>
      </c>
    </row>
    <row r="11" spans="1:5" ht="18" x14ac:dyDescent="0.35">
      <c r="A11" s="148" t="s">
        <v>107</v>
      </c>
      <c r="B11" s="153">
        <f>B10*0.5</f>
        <v>0</v>
      </c>
      <c r="C11" s="153">
        <f t="shared" ref="C11:E11" si="4">C10*0.5</f>
        <v>0</v>
      </c>
      <c r="D11" s="153">
        <f t="shared" si="4"/>
        <v>0</v>
      </c>
      <c r="E11" s="154">
        <f t="shared" si="4"/>
        <v>0</v>
      </c>
    </row>
    <row r="12" spans="1:5" ht="18" x14ac:dyDescent="0.35">
      <c r="A12" s="148" t="s">
        <v>108</v>
      </c>
      <c r="B12" s="153">
        <f>B11*0.15</f>
        <v>0</v>
      </c>
      <c r="C12" s="153">
        <f t="shared" ref="C12:E12" si="5">C11*0.15</f>
        <v>0</v>
      </c>
      <c r="D12" s="153">
        <f t="shared" si="5"/>
        <v>0</v>
      </c>
      <c r="E12" s="154">
        <f t="shared" si="5"/>
        <v>0</v>
      </c>
    </row>
    <row r="13" spans="1:5" x14ac:dyDescent="0.25">
      <c r="A13" s="148" t="s">
        <v>109</v>
      </c>
      <c r="B13" s="155">
        <f>B7+B10</f>
        <v>0</v>
      </c>
      <c r="C13" s="155">
        <f t="shared" ref="C13:E14" si="6">C7+C10</f>
        <v>0</v>
      </c>
      <c r="D13" s="155">
        <f t="shared" si="6"/>
        <v>0</v>
      </c>
      <c r="E13" s="156">
        <f t="shared" si="6"/>
        <v>0</v>
      </c>
    </row>
    <row r="14" spans="1:5" ht="18" x14ac:dyDescent="0.35">
      <c r="A14" s="148" t="s">
        <v>110</v>
      </c>
      <c r="B14" s="155">
        <f>B8+B11</f>
        <v>0</v>
      </c>
      <c r="C14" s="155">
        <f t="shared" si="6"/>
        <v>0</v>
      </c>
      <c r="D14" s="155">
        <f t="shared" si="6"/>
        <v>0</v>
      </c>
      <c r="E14" s="156">
        <f t="shared" si="6"/>
        <v>0</v>
      </c>
    </row>
    <row r="15" spans="1:5" ht="18.75" thickBot="1" x14ac:dyDescent="0.4">
      <c r="A15" s="157" t="s">
        <v>111</v>
      </c>
      <c r="B15" s="158">
        <f>B14*0.15</f>
        <v>0</v>
      </c>
      <c r="C15" s="158">
        <f t="shared" ref="C15:E15" si="7">C14*0.15</f>
        <v>0</v>
      </c>
      <c r="D15" s="158">
        <f t="shared" si="7"/>
        <v>0</v>
      </c>
      <c r="E15" s="159">
        <f t="shared" si="7"/>
        <v>0</v>
      </c>
    </row>
    <row r="16" spans="1:5" x14ac:dyDescent="0.25">
      <c r="A16" s="256" t="s">
        <v>166</v>
      </c>
      <c r="B16" s="256"/>
      <c r="C16" s="256"/>
      <c r="D16" s="256"/>
      <c r="E16" s="256"/>
    </row>
    <row r="17" spans="1:5" x14ac:dyDescent="0.25">
      <c r="A17" s="241" t="s">
        <v>115</v>
      </c>
      <c r="B17" s="241"/>
      <c r="C17" s="241"/>
      <c r="D17" s="241"/>
      <c r="E17" s="241"/>
    </row>
    <row r="18" spans="1:5" x14ac:dyDescent="0.25">
      <c r="A18" t="s">
        <v>112</v>
      </c>
      <c r="B18">
        <v>50</v>
      </c>
      <c r="C18" s="235" t="s">
        <v>166</v>
      </c>
      <c r="D18" s="235"/>
      <c r="E18" s="235"/>
    </row>
    <row r="19" spans="1:5" x14ac:dyDescent="0.25">
      <c r="A19" t="s">
        <v>113</v>
      </c>
      <c r="B19">
        <v>70</v>
      </c>
      <c r="C19" s="235" t="s">
        <v>166</v>
      </c>
      <c r="D19" s="235"/>
      <c r="E19" s="235"/>
    </row>
    <row r="20" spans="1:5" x14ac:dyDescent="0.25">
      <c r="A20" t="s">
        <v>114</v>
      </c>
      <c r="B20">
        <v>95</v>
      </c>
      <c r="C20" s="235" t="s">
        <v>166</v>
      </c>
      <c r="D20" s="235"/>
      <c r="E20" s="235"/>
    </row>
    <row r="21" spans="1:5" x14ac:dyDescent="0.25">
      <c r="A21" s="235" t="s">
        <v>167</v>
      </c>
      <c r="B21" s="235"/>
      <c r="C21" s="235"/>
      <c r="D21" s="235"/>
      <c r="E21" s="235"/>
    </row>
    <row r="22" spans="1:5" hidden="1" x14ac:dyDescent="0.25"/>
  </sheetData>
  <mergeCells count="8">
    <mergeCell ref="A2:E2"/>
    <mergeCell ref="A21:E21"/>
    <mergeCell ref="A17:E17"/>
    <mergeCell ref="A1:E1"/>
    <mergeCell ref="A16:E16"/>
    <mergeCell ref="C18:E18"/>
    <mergeCell ref="C19:E19"/>
    <mergeCell ref="C20:E20"/>
  </mergeCells>
  <dataValidations count="6">
    <dataValidation allowBlank="1" showInputMessage="1" showErrorMessage="1" prompt="Enter stockpile number 1 acres" sqref="B4" xr:uid="{9D0A4E2C-5842-4B84-ABF4-232BD2247983}"/>
    <dataValidation allowBlank="1" showInputMessage="1" showErrorMessage="1" prompt="Enter stockpile number 2 acres" sqref="C4" xr:uid="{1A93B499-4D58-4D45-95D3-A1A446D0F58F}"/>
    <dataValidation allowBlank="1" showInputMessage="1" showErrorMessage="1" prompt="Enter stockpile numer 3 acres" sqref="D4" xr:uid="{4DE1A247-97BE-478B-9270-489F65A42AA9}"/>
    <dataValidation allowBlank="1" showInputMessage="1" showErrorMessage="1" prompt="Enter stockpile number 4 acres" sqref="E4" xr:uid="{95178C53-E5A1-4613-9089-B62C843D1503}"/>
    <dataValidation allowBlank="1" showInputMessage="1" showErrorMessage="1" prompt="Input control efficiency used for the stockpiles." sqref="B5 C5 D5 E5" xr:uid="{C3DF9863-BBCA-4D10-A405-7CEE2592BB20}"/>
    <dataValidation allowBlank="1" showInputMessage="1" showErrorMessage="1" prompt="Input the number of active days per year." sqref="B6 C6 D6 E6" xr:uid="{1CB54C50-C2F1-4525-BED9-FDAD9DDA5C3B}"/>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97557-762D-48F7-8E73-24735402D15D}">
  <sheetPr codeName="Sheet7">
    <pageSetUpPr fitToPage="1"/>
  </sheetPr>
  <dimension ref="A1:M41"/>
  <sheetViews>
    <sheetView zoomScale="85" zoomScaleNormal="85" workbookViewId="0">
      <selection sqref="A1:H1"/>
    </sheetView>
  </sheetViews>
  <sheetFormatPr defaultColWidth="0" defaultRowHeight="14.25" zeroHeight="1" x14ac:dyDescent="0.2"/>
  <cols>
    <col min="1" max="1" width="29.7109375" style="1" customWidth="1"/>
    <col min="2" max="3" width="9.140625" style="1" customWidth="1"/>
    <col min="4" max="4" width="12.7109375" style="1" customWidth="1"/>
    <col min="5" max="5" width="18" style="1" customWidth="1"/>
    <col min="6" max="6" width="12" style="1" customWidth="1"/>
    <col min="7" max="8" width="9.140625" style="1" customWidth="1"/>
    <col min="9" max="13" width="0" style="1" hidden="1" customWidth="1"/>
    <col min="14" max="16384" width="9.140625" style="1" hidden="1"/>
  </cols>
  <sheetData>
    <row r="1" spans="1:13" ht="15" x14ac:dyDescent="0.25">
      <c r="A1" s="185" t="s">
        <v>182</v>
      </c>
      <c r="B1" s="185"/>
      <c r="C1" s="185"/>
      <c r="D1" s="185"/>
      <c r="E1" s="185"/>
      <c r="F1" s="185"/>
      <c r="G1" s="185"/>
      <c r="H1" s="185"/>
    </row>
    <row r="2" spans="1:13" s="47" customFormat="1" ht="66" customHeight="1" x14ac:dyDescent="0.25">
      <c r="A2" s="271" t="s">
        <v>188</v>
      </c>
      <c r="B2" s="272"/>
      <c r="C2" s="272"/>
      <c r="D2" s="272"/>
      <c r="E2" s="272"/>
      <c r="F2" s="272"/>
      <c r="G2" s="272"/>
      <c r="H2" s="272"/>
      <c r="I2" s="65"/>
      <c r="J2" s="65"/>
      <c r="K2" s="65"/>
      <c r="L2" s="65"/>
      <c r="M2" s="65"/>
    </row>
    <row r="3" spans="1:13" ht="15.75" thickBot="1" x14ac:dyDescent="0.3">
      <c r="A3" s="267" t="s">
        <v>225</v>
      </c>
      <c r="B3" s="267"/>
      <c r="C3" s="267"/>
      <c r="D3" s="267"/>
      <c r="E3" s="267"/>
      <c r="F3" s="267"/>
      <c r="G3" s="267"/>
      <c r="H3" s="268"/>
    </row>
    <row r="4" spans="1:13" ht="15" customHeight="1" x14ac:dyDescent="0.2">
      <c r="A4" s="262" t="s">
        <v>165</v>
      </c>
      <c r="B4" s="262"/>
      <c r="C4" s="262"/>
      <c r="D4" s="91">
        <v>0.5</v>
      </c>
      <c r="E4" s="278" t="s">
        <v>166</v>
      </c>
      <c r="F4" s="279"/>
      <c r="G4" s="279"/>
      <c r="H4" s="280"/>
      <c r="I4" s="49"/>
      <c r="J4" s="64"/>
      <c r="K4" s="64"/>
      <c r="L4" s="64"/>
    </row>
    <row r="5" spans="1:13" x14ac:dyDescent="0.2">
      <c r="A5" s="263" t="s">
        <v>135</v>
      </c>
      <c r="B5" s="263"/>
      <c r="C5" s="263"/>
      <c r="D5" s="92"/>
      <c r="E5" s="278" t="s">
        <v>166</v>
      </c>
      <c r="F5" s="279"/>
      <c r="G5" s="279"/>
      <c r="H5" s="280"/>
      <c r="I5" s="49"/>
      <c r="J5" s="49"/>
      <c r="K5" s="49"/>
      <c r="L5" s="49"/>
    </row>
    <row r="6" spans="1:13" x14ac:dyDescent="0.2">
      <c r="A6" s="263" t="s">
        <v>136</v>
      </c>
      <c r="B6" s="263"/>
      <c r="C6" s="263"/>
      <c r="D6" s="92"/>
      <c r="E6" s="278" t="s">
        <v>166</v>
      </c>
      <c r="F6" s="279"/>
      <c r="G6" s="279"/>
      <c r="H6" s="280"/>
      <c r="I6" s="49"/>
      <c r="J6" s="49"/>
      <c r="K6" s="49"/>
      <c r="L6" s="49"/>
    </row>
    <row r="7" spans="1:13" x14ac:dyDescent="0.2">
      <c r="A7" s="264" t="s">
        <v>120</v>
      </c>
      <c r="B7" s="264"/>
      <c r="C7" s="264"/>
      <c r="D7" s="92"/>
      <c r="E7" s="278" t="s">
        <v>166</v>
      </c>
      <c r="F7" s="279"/>
      <c r="G7" s="279"/>
      <c r="H7" s="280"/>
      <c r="I7" s="49"/>
      <c r="J7" s="49"/>
      <c r="K7" s="49"/>
      <c r="L7" s="49"/>
    </row>
    <row r="8" spans="1:13" ht="15.75" customHeight="1" thickBot="1" x14ac:dyDescent="0.25">
      <c r="A8" s="265" t="s">
        <v>122</v>
      </c>
      <c r="B8" s="265"/>
      <c r="C8" s="265"/>
      <c r="D8" s="93"/>
      <c r="E8" s="278" t="s">
        <v>166</v>
      </c>
      <c r="F8" s="279"/>
      <c r="G8" s="279"/>
      <c r="H8" s="280"/>
      <c r="I8" s="49"/>
      <c r="J8" s="49"/>
      <c r="K8" s="49"/>
      <c r="L8" s="49"/>
    </row>
    <row r="9" spans="1:13" ht="15" x14ac:dyDescent="0.25">
      <c r="A9" s="276" t="s">
        <v>186</v>
      </c>
      <c r="B9" s="276"/>
      <c r="C9" s="276"/>
      <c r="D9" s="276"/>
      <c r="E9" s="276"/>
      <c r="F9" s="276"/>
      <c r="G9" s="276"/>
      <c r="H9" s="277"/>
    </row>
    <row r="10" spans="1:13" ht="15" thickBot="1" x14ac:dyDescent="0.25">
      <c r="A10" s="273" t="s">
        <v>166</v>
      </c>
      <c r="B10" s="273"/>
      <c r="C10" s="273"/>
      <c r="D10" s="273"/>
      <c r="E10" s="273"/>
      <c r="F10" s="273"/>
      <c r="G10" s="273"/>
      <c r="H10" s="274"/>
    </row>
    <row r="11" spans="1:13" ht="50.25" customHeight="1" thickBot="1" x14ac:dyDescent="0.25">
      <c r="A11" s="63" t="s">
        <v>226</v>
      </c>
      <c r="B11" s="63" t="s">
        <v>116</v>
      </c>
      <c r="C11" s="63" t="s">
        <v>185</v>
      </c>
      <c r="D11" s="112" t="s">
        <v>184</v>
      </c>
      <c r="E11" s="63" t="s">
        <v>227</v>
      </c>
      <c r="F11" s="63" t="s">
        <v>183</v>
      </c>
      <c r="G11" s="63" t="s">
        <v>185</v>
      </c>
      <c r="H11" s="69" t="s">
        <v>117</v>
      </c>
      <c r="I11" s="18"/>
      <c r="J11" s="19"/>
      <c r="K11" s="20"/>
      <c r="L11" s="18"/>
      <c r="M11" s="18"/>
    </row>
    <row r="12" spans="1:13" x14ac:dyDescent="0.2">
      <c r="A12" s="94" t="s">
        <v>118</v>
      </c>
      <c r="B12" s="95">
        <f>IF(D4="",0,0.000332+0.00105*(ABS(D4))*EXP((0.0251*(D6+460)-20.43)))</f>
        <v>3.3207275906779933E-4</v>
      </c>
      <c r="C12" s="96">
        <f>B12*$D$7</f>
        <v>0</v>
      </c>
      <c r="D12" s="96">
        <f>$D$8*B12/2000</f>
        <v>0</v>
      </c>
      <c r="E12" s="97" t="s">
        <v>118</v>
      </c>
      <c r="F12" s="98">
        <f>IF(D4="",0,0.000181+((0.00141)*(ABS(D4)*EXP(((0.0251)*(D5+460)-20.43)))))</f>
        <v>1.8109770503390194E-4</v>
      </c>
      <c r="G12" s="96">
        <f>F12*$D$7</f>
        <v>0</v>
      </c>
      <c r="H12" s="99">
        <f>$D$8*F12/2000</f>
        <v>0</v>
      </c>
      <c r="I12" s="18"/>
      <c r="J12" s="19"/>
      <c r="K12" s="20"/>
      <c r="L12" s="18"/>
      <c r="M12" s="18"/>
    </row>
    <row r="13" spans="1:13" x14ac:dyDescent="0.2">
      <c r="A13" s="100" t="s">
        <v>119</v>
      </c>
      <c r="B13" s="101">
        <f>0.00105*(ABS(D4))*EXP((0.0251*(D6+460)-20.43))</f>
        <v>7.2759067799310371E-8</v>
      </c>
      <c r="C13" s="102">
        <f t="shared" ref="C13:C16" si="0">B13*$D$7</f>
        <v>0</v>
      </c>
      <c r="D13" s="102">
        <f t="shared" ref="D13:D16" si="1">$D$8*B13/2000</f>
        <v>0</v>
      </c>
      <c r="E13" s="103" t="s">
        <v>119</v>
      </c>
      <c r="F13" s="104">
        <f>0.00141*(ABS(D4)*EXP(((0.0251*(D5+460))-20.43)))</f>
        <v>9.7705033901931073E-8</v>
      </c>
      <c r="G13" s="102">
        <f t="shared" ref="G13:G16" si="2">F13*$D$7</f>
        <v>0</v>
      </c>
      <c r="H13" s="105">
        <f t="shared" ref="H13:H16" si="3">$D$8*F13/2000</f>
        <v>0</v>
      </c>
      <c r="I13" s="18"/>
      <c r="J13" s="19"/>
      <c r="K13" s="20"/>
      <c r="L13" s="18"/>
      <c r="M13" s="18"/>
    </row>
    <row r="14" spans="1:13" x14ac:dyDescent="0.2">
      <c r="A14" s="100" t="s">
        <v>121</v>
      </c>
      <c r="B14" s="101">
        <f>0.0504*(ABS(D4))*EXP((0.0251*(D6+460)-20.43))</f>
        <v>3.4924352543668982E-6</v>
      </c>
      <c r="C14" s="102">
        <f t="shared" si="0"/>
        <v>0</v>
      </c>
      <c r="D14" s="102">
        <f t="shared" si="1"/>
        <v>0</v>
      </c>
      <c r="E14" s="103" t="s">
        <v>121</v>
      </c>
      <c r="F14" s="104">
        <f>0.0172*(ABS(D4))*EXP((0.0251*(D5+460))-20.43)</f>
        <v>1.191862824902989E-6</v>
      </c>
      <c r="G14" s="102">
        <f t="shared" si="2"/>
        <v>0</v>
      </c>
      <c r="H14" s="105">
        <f t="shared" si="3"/>
        <v>0</v>
      </c>
      <c r="I14" s="18"/>
      <c r="J14" s="19"/>
      <c r="K14" s="20"/>
      <c r="L14" s="18"/>
      <c r="M14" s="18"/>
    </row>
    <row r="15" spans="1:13" x14ac:dyDescent="0.2">
      <c r="A15" s="100" t="s">
        <v>46</v>
      </c>
      <c r="B15" s="101">
        <f>0.00488*(ABS(D4))*EXP((0.0251*(D6+460)-20.43))</f>
        <v>3.3815642939108059E-7</v>
      </c>
      <c r="C15" s="102">
        <f t="shared" si="0"/>
        <v>0</v>
      </c>
      <c r="D15" s="102">
        <f t="shared" si="1"/>
        <v>0</v>
      </c>
      <c r="E15" s="103" t="s">
        <v>46</v>
      </c>
      <c r="F15" s="104">
        <f>0.00558*(ABS(D4))*EXP((0.0251*(460+D5)-20.43))</f>
        <v>3.8666247459062085E-7</v>
      </c>
      <c r="G15" s="102">
        <f t="shared" si="2"/>
        <v>0</v>
      </c>
      <c r="H15" s="105">
        <f t="shared" si="3"/>
        <v>0</v>
      </c>
      <c r="I15" s="18"/>
      <c r="J15" s="19"/>
      <c r="K15" s="20"/>
      <c r="L15" s="18"/>
      <c r="M15" s="18"/>
    </row>
    <row r="16" spans="1:13" ht="15" thickBot="1" x14ac:dyDescent="0.25">
      <c r="A16" s="106" t="s">
        <v>123</v>
      </c>
      <c r="B16" s="107">
        <f>B14</f>
        <v>3.4924352543668982E-6</v>
      </c>
      <c r="C16" s="108">
        <f t="shared" si="0"/>
        <v>0</v>
      </c>
      <c r="D16" s="108">
        <f t="shared" si="1"/>
        <v>0</v>
      </c>
      <c r="E16" s="109" t="s">
        <v>123</v>
      </c>
      <c r="F16" s="110">
        <f>F14*0.94</f>
        <v>1.1203510554088096E-6</v>
      </c>
      <c r="G16" s="108">
        <f t="shared" si="2"/>
        <v>0</v>
      </c>
      <c r="H16" s="111">
        <f t="shared" si="3"/>
        <v>0</v>
      </c>
      <c r="I16" s="18"/>
      <c r="J16" s="19"/>
      <c r="K16" s="20"/>
      <c r="L16" s="18"/>
      <c r="M16" s="18"/>
    </row>
    <row r="17" spans="1:13" ht="35.25" customHeight="1" thickBot="1" x14ac:dyDescent="0.25">
      <c r="A17" s="300" t="s">
        <v>206</v>
      </c>
      <c r="B17" s="300"/>
      <c r="C17" s="300"/>
      <c r="D17" s="300"/>
      <c r="E17" s="300"/>
      <c r="F17" s="300"/>
      <c r="G17" s="300"/>
      <c r="H17" s="300"/>
      <c r="I17" s="18"/>
      <c r="J17" s="19"/>
      <c r="K17" s="20"/>
      <c r="L17" s="18"/>
      <c r="M17" s="18"/>
    </row>
    <row r="18" spans="1:13" x14ac:dyDescent="0.2">
      <c r="A18" s="275" t="s">
        <v>166</v>
      </c>
      <c r="B18" s="275"/>
      <c r="C18" s="275"/>
      <c r="D18" s="275"/>
      <c r="E18" s="275"/>
      <c r="F18" s="275"/>
      <c r="G18" s="275"/>
      <c r="H18" s="275"/>
      <c r="I18" s="21"/>
      <c r="J18" s="21"/>
      <c r="K18" s="21"/>
      <c r="L18" s="21"/>
      <c r="M18" s="21"/>
    </row>
    <row r="19" spans="1:13" ht="15.75" thickBot="1" x14ac:dyDescent="0.3">
      <c r="A19" s="266" t="s">
        <v>228</v>
      </c>
      <c r="B19" s="267"/>
      <c r="C19" s="267"/>
      <c r="D19" s="267"/>
      <c r="E19" s="267"/>
      <c r="F19" s="267"/>
      <c r="G19" s="267"/>
      <c r="H19" s="268"/>
      <c r="I19" s="21"/>
      <c r="J19" s="21"/>
      <c r="K19" s="21"/>
      <c r="L19" s="21"/>
      <c r="M19" s="21"/>
    </row>
    <row r="20" spans="1:13" ht="36" customHeight="1" thickBot="1" x14ac:dyDescent="0.25">
      <c r="A20" s="289" t="s">
        <v>187</v>
      </c>
      <c r="B20" s="290"/>
      <c r="C20" s="290"/>
      <c r="D20" s="291"/>
      <c r="E20" s="66" t="s">
        <v>124</v>
      </c>
      <c r="F20" s="304" t="s">
        <v>166</v>
      </c>
      <c r="G20" s="305"/>
      <c r="H20" s="306"/>
    </row>
    <row r="21" spans="1:13" ht="15.75" customHeight="1" thickBot="1" x14ac:dyDescent="0.25">
      <c r="A21" s="260" t="str">
        <f>IF(E20="","Sulfur Percentage in Fuel (%)",IF(E20="Propane","Sulfur Content (gr/100 cubic ft gas vapor)",IF(E20="Natural Gas","", "Sulfur Percentage in Fuel (%)")))</f>
        <v/>
      </c>
      <c r="B21" s="261"/>
      <c r="C21" s="261"/>
      <c r="D21" s="261"/>
      <c r="E21" s="67"/>
      <c r="F21" s="304" t="s">
        <v>166</v>
      </c>
      <c r="G21" s="305"/>
      <c r="H21" s="306"/>
    </row>
    <row r="22" spans="1:13" ht="15" thickBot="1" x14ac:dyDescent="0.25">
      <c r="A22" s="260" t="str">
        <f>IF(E20="","",IF(E20="Waste Oil", "Ash Percentage in Fuel (%)",""))</f>
        <v/>
      </c>
      <c r="B22" s="261"/>
      <c r="C22" s="261"/>
      <c r="D22" s="261"/>
      <c r="E22" s="6"/>
      <c r="F22" s="304" t="s">
        <v>166</v>
      </c>
      <c r="G22" s="305"/>
      <c r="H22" s="306"/>
    </row>
    <row r="23" spans="1:13" ht="15" thickBot="1" x14ac:dyDescent="0.25">
      <c r="A23" s="260" t="str">
        <f>IF(D20="Natural Gas","Hot Oil Heater Fuel Usage (cubic ft/min)","Hot Oil Heater Fuel Usage (gal/hr)")</f>
        <v>Hot Oil Heater Fuel Usage (gal/hr)</v>
      </c>
      <c r="B23" s="261"/>
      <c r="C23" s="261"/>
      <c r="D23" s="261"/>
      <c r="E23" s="6"/>
      <c r="F23" s="304" t="s">
        <v>166</v>
      </c>
      <c r="G23" s="305"/>
      <c r="H23" s="306"/>
    </row>
    <row r="24" spans="1:13" ht="15.75" customHeight="1" thickBot="1" x14ac:dyDescent="0.25">
      <c r="A24" s="257" t="str">
        <f>IF(D20="Natural Gas","Hot Oil Heater Fuel Usage (cubic ft/yr)","Hot Oil Heater Fuel Usage (gal/year)")</f>
        <v>Hot Oil Heater Fuel Usage (gal/year)</v>
      </c>
      <c r="B24" s="258"/>
      <c r="C24" s="258"/>
      <c r="D24" s="259"/>
      <c r="E24" s="67"/>
      <c r="F24" s="304" t="s">
        <v>166</v>
      </c>
      <c r="G24" s="305"/>
      <c r="H24" s="306"/>
    </row>
    <row r="25" spans="1:13" ht="37.5" customHeight="1" x14ac:dyDescent="0.2">
      <c r="A25" s="281" t="str">
        <f>IF(OR(E20="Natural Gas",E20="No. 2 Fuel Oil"),"If using Natural Gas or No. 2 Fuel Oil: The TCEQ recommends the usage of the CO emission factor from Chapter 1, however the factor listed in Chapter 11 is acceptable.",IF(E20="waste oil","If the ash percentage in the fuel is less than 0.1%, then you may leave the cell blank.","" ))</f>
        <v>If using Natural Gas or No. 2 Fuel Oil: The TCEQ recommends the usage of the CO emission factor from Chapter 1, however the factor listed in Chapter 11 is acceptable.</v>
      </c>
      <c r="B25" s="282"/>
      <c r="C25" s="282"/>
      <c r="D25" s="282"/>
      <c r="E25" s="282"/>
      <c r="F25" s="282"/>
      <c r="G25" s="282"/>
      <c r="H25" s="283"/>
    </row>
    <row r="26" spans="1:13" ht="15" x14ac:dyDescent="0.25">
      <c r="A26" s="284" t="s">
        <v>189</v>
      </c>
      <c r="B26" s="285"/>
      <c r="C26" s="285"/>
      <c r="D26" s="285"/>
      <c r="E26" s="285"/>
      <c r="F26" s="285"/>
      <c r="G26" s="285"/>
      <c r="H26" s="286"/>
    </row>
    <row r="27" spans="1:13" ht="42.75" x14ac:dyDescent="0.2">
      <c r="A27" s="68" t="s">
        <v>129</v>
      </c>
      <c r="B27" s="287"/>
      <c r="C27" s="287"/>
      <c r="D27" s="287"/>
      <c r="E27" s="287"/>
      <c r="F27" s="287"/>
      <c r="G27" s="287"/>
      <c r="H27" s="288"/>
    </row>
    <row r="28" spans="1:13" ht="15" thickBot="1" x14ac:dyDescent="0.25">
      <c r="A28" s="301" t="s">
        <v>166</v>
      </c>
      <c r="B28" s="302"/>
      <c r="C28" s="302"/>
      <c r="D28" s="302"/>
      <c r="E28" s="302"/>
      <c r="F28" s="302"/>
      <c r="G28" s="302"/>
      <c r="H28" s="303"/>
      <c r="I28" s="22"/>
      <c r="J28" s="22"/>
      <c r="K28" s="22"/>
      <c r="L28" s="22"/>
      <c r="M28" s="21"/>
    </row>
    <row r="29" spans="1:13" ht="15.75" thickBot="1" x14ac:dyDescent="0.25">
      <c r="A29" s="269" t="s">
        <v>196</v>
      </c>
      <c r="B29" s="270"/>
      <c r="C29" s="270"/>
      <c r="D29" s="23" t="str">
        <f>IF(OR(D20="No. 2 Fuel Oil",D20="Waste Oil",D20="Propane"),"EF lb/1000gal",IF(D20="Natural Gas","   EF lb/ Million dscf","EF"))</f>
        <v>EF</v>
      </c>
      <c r="E29" s="48" t="s">
        <v>125</v>
      </c>
      <c r="F29" s="24" t="s">
        <v>126</v>
      </c>
      <c r="G29" s="292" t="s">
        <v>166</v>
      </c>
      <c r="H29" s="293"/>
      <c r="I29" s="22"/>
      <c r="J29" s="22"/>
      <c r="K29" s="22"/>
      <c r="L29" s="22"/>
      <c r="M29" s="17"/>
    </row>
    <row r="30" spans="1:13" ht="18.75" x14ac:dyDescent="0.35">
      <c r="A30" s="294" t="s">
        <v>137</v>
      </c>
      <c r="B30" s="294"/>
      <c r="C30" s="294"/>
      <c r="D30" s="113">
        <f>IF(E20="No. 2 Fuel Oil",142*(E21),IF(E20="Natural Gas",0.6,IF(E20="Waste Oil",147*E21,IF(E20="Propane",0.1*E21,MAX(0.6, E21*147)))))</f>
        <v>0.6</v>
      </c>
      <c r="E30" s="95">
        <f>IF($E$20="Natural Gas",((D30/1000000)*$E$23)*60,IF(OR($E$20="No. 2 Fuel Oil",$E$20="Waste Oil",$E$20="Propane"),(D30/1000)*$E$23,0))</f>
        <v>0</v>
      </c>
      <c r="F30" s="114">
        <f>IF($E$20="Natural Gas",((D30/1000000)*$E$24*(1/2000)),IF(OR($E$20="No. 2 Fuel Oil",$E$20="Waste Oil",$E$20="Propane"),($E$24)*D30/1000*(1/2000),0))</f>
        <v>0</v>
      </c>
      <c r="G30" s="292" t="s">
        <v>166</v>
      </c>
      <c r="H30" s="293"/>
      <c r="I30" s="17"/>
      <c r="J30" s="25"/>
      <c r="K30" s="25"/>
      <c r="L30" s="25"/>
      <c r="M30" s="17"/>
    </row>
    <row r="31" spans="1:13" x14ac:dyDescent="0.2">
      <c r="A31" s="295" t="s">
        <v>127</v>
      </c>
      <c r="B31" s="295"/>
      <c r="C31" s="295"/>
      <c r="D31" s="115">
        <f>IF(E20="No. 2 Fuel Oil",20,IF(E20="Natural Gas",100,IF(E20="Waste Oil",19,IF(E20="Propane",13,100))))</f>
        <v>100</v>
      </c>
      <c r="E31" s="101">
        <f t="shared" ref="E31:E36" si="4">IF($E$20="Natural Gas",((D31/1000000)*$E$23)*60,IF(OR($E$20="No. 2 Fuel Oil",$E$20="Waste Oil",$E$20="Propane"),(D31/1000)*$E$23,0))</f>
        <v>0</v>
      </c>
      <c r="F31" s="116">
        <f t="shared" ref="F31:F36" si="5">IF($E$20="Natural Gas",((D31/1000000)*$E$24*(1/2000)),IF(OR($E$20="No. 2 Fuel Oil",$E$20="Waste Oil",$E$20="Propane"),($E$24)*D31/1000*(1/2000),0))</f>
        <v>0</v>
      </c>
      <c r="G31" s="292" t="s">
        <v>166</v>
      </c>
      <c r="H31" s="293"/>
      <c r="I31" s="25"/>
      <c r="J31" s="25"/>
      <c r="K31" s="25"/>
      <c r="L31" s="25"/>
      <c r="M31" s="25"/>
    </row>
    <row r="32" spans="1:13" x14ac:dyDescent="0.2">
      <c r="A32" s="295" t="s">
        <v>123</v>
      </c>
      <c r="B32" s="295"/>
      <c r="C32" s="295"/>
      <c r="D32" s="115">
        <f>IF(E20="No. 2 Fuel Oil",0.2,IF(D20="Natural Gas",5.5,IF(E20="Waste Oil",1,IF(E20="Propane",1,5.5))))</f>
        <v>5.5</v>
      </c>
      <c r="E32" s="101">
        <f t="shared" si="4"/>
        <v>0</v>
      </c>
      <c r="F32" s="116">
        <f t="shared" si="5"/>
        <v>0</v>
      </c>
      <c r="G32" s="292" t="s">
        <v>166</v>
      </c>
      <c r="H32" s="293"/>
      <c r="I32" s="25"/>
      <c r="J32" s="25"/>
      <c r="K32" s="25"/>
      <c r="L32" s="25"/>
      <c r="M32" s="25"/>
    </row>
    <row r="33" spans="1:13" ht="15" x14ac:dyDescent="0.2">
      <c r="A33" s="295" t="s">
        <v>46</v>
      </c>
      <c r="B33" s="295"/>
      <c r="C33" s="295"/>
      <c r="D33" s="115">
        <f>IF(AND(E20="No. 2 Fuel Oil",A27="Use Chapter 11.1 Hot Mix Asphalt Plants CO Factor"),1.2,IF(AND(E20="No. 2 Fuel Oil",A27="Use Chapter 1 External Combustion Sources CO Factor"),5,IF(AND(E20="Natural Gas",A27="Use Chapter 11.1 Hot Mix Asphalt Plants CO Factor"),8.9,IF(AND(E20="Natural Gas",A27="Use Chapter 1 External Combustion Sources CO Factor"),84,IF(E20="Waste Oil",5,IF(E20="Propane",7.5,84))))))</f>
        <v>84</v>
      </c>
      <c r="E33" s="101">
        <f t="shared" si="4"/>
        <v>0</v>
      </c>
      <c r="F33" s="116">
        <f t="shared" si="5"/>
        <v>0</v>
      </c>
      <c r="G33" s="292" t="s">
        <v>166</v>
      </c>
      <c r="H33" s="293"/>
      <c r="I33" s="25"/>
      <c r="J33" s="26"/>
      <c r="K33" s="26"/>
      <c r="L33" s="25"/>
      <c r="M33" s="25"/>
    </row>
    <row r="34" spans="1:13" x14ac:dyDescent="0.2">
      <c r="A34" s="296" t="s">
        <v>138</v>
      </c>
      <c r="B34" s="296"/>
      <c r="C34" s="296"/>
      <c r="D34" s="115">
        <f>IF($E$20="No. 2 Fuel Oil",3.3,IF($E$20="Natural Gas",7.6,IF($E$20="Propane",0.7,IF($E$20="Waste Oil",IF($E$22="",11.5,IF(64*$E$22&lt;11.5,11.5,IF(64*$E$22&gt;11.5,64*$E$22,0))),IF($E$22="",11.5,IF(64*$E$22&lt;11.5,11.5,IF(64*$E$22&gt;11.5,64*$E$22,0)))))))</f>
        <v>7.6</v>
      </c>
      <c r="E34" s="101">
        <f t="shared" si="4"/>
        <v>0</v>
      </c>
      <c r="F34" s="116">
        <f t="shared" si="5"/>
        <v>0</v>
      </c>
      <c r="G34" s="292" t="s">
        <v>166</v>
      </c>
      <c r="H34" s="293"/>
    </row>
    <row r="35" spans="1:13" ht="18.75" x14ac:dyDescent="0.35">
      <c r="A35" s="296" t="s">
        <v>139</v>
      </c>
      <c r="B35" s="296"/>
      <c r="C35" s="296"/>
      <c r="D35" s="115">
        <f>IF($E$20="No. 2 Fuel Oil",3.3,IF($E$20="Natural Gas",7.6,IF($E$20="Propane",0.7,IF($E$20="Waste Oil",IF($E$22="",11.5,IF(64*$E$22&lt;11.5,11.5,IF(64*$E$22&gt;11.5,51*$E$22,0))),IF($E$22="",11.5,IF(51*$E$22&lt;11.5,11.5,IF(51*$E$22&gt;11.5,51*$E$22,0)))))))</f>
        <v>7.6</v>
      </c>
      <c r="E35" s="101">
        <f t="shared" si="4"/>
        <v>0</v>
      </c>
      <c r="F35" s="116">
        <f t="shared" si="5"/>
        <v>0</v>
      </c>
      <c r="G35" s="292" t="s">
        <v>166</v>
      </c>
      <c r="H35" s="293"/>
    </row>
    <row r="36" spans="1:13" ht="19.5" thickBot="1" x14ac:dyDescent="0.4">
      <c r="A36" s="307" t="s">
        <v>207</v>
      </c>
      <c r="B36" s="307"/>
      <c r="C36" s="307"/>
      <c r="D36" s="117">
        <f>IF($E$20="No. 2 Fuel Oil",3.3,IF($E$20="Natural Gas",7.6,IF($E$20="Propane",0.7,IF($E$20="Waste Oil",IF($E$22="",11.5,IF(64*$E$22&lt;11.5,11.5,IF(64*$E$22&gt;11.5,51*$E$22,0))),IF($E$22="",11.5,IF(51*$E$22&lt;11.5,11.5,IF(51*$E$22&gt;11.5,51*$E$22,0)))))))</f>
        <v>7.6</v>
      </c>
      <c r="E36" s="107">
        <f t="shared" si="4"/>
        <v>0</v>
      </c>
      <c r="F36" s="118">
        <f t="shared" si="5"/>
        <v>0</v>
      </c>
      <c r="G36" s="292" t="s">
        <v>166</v>
      </c>
      <c r="H36" s="293"/>
    </row>
    <row r="37" spans="1:13" x14ac:dyDescent="0.2">
      <c r="A37" s="297" t="s">
        <v>167</v>
      </c>
      <c r="B37" s="298"/>
      <c r="C37" s="298"/>
      <c r="D37" s="298"/>
      <c r="E37" s="298"/>
      <c r="F37" s="298"/>
      <c r="G37" s="298"/>
      <c r="H37" s="299"/>
    </row>
    <row r="38" spans="1:13" hidden="1" x14ac:dyDescent="0.2"/>
    <row r="39" spans="1:13" ht="15" hidden="1" customHeight="1" x14ac:dyDescent="0.2">
      <c r="A39" s="27"/>
      <c r="B39" s="27"/>
      <c r="C39" s="27"/>
      <c r="D39" s="27"/>
      <c r="E39" s="27"/>
      <c r="F39" s="27"/>
      <c r="G39" s="27"/>
    </row>
    <row r="40" spans="1:13" ht="15" hidden="1" customHeight="1" x14ac:dyDescent="0.2">
      <c r="A40" s="27"/>
      <c r="B40" s="27"/>
      <c r="C40" s="27"/>
      <c r="D40" s="27"/>
      <c r="E40" s="27"/>
      <c r="F40" s="27"/>
      <c r="G40" s="27"/>
    </row>
    <row r="41" spans="1:13" ht="15" hidden="1" customHeight="1" x14ac:dyDescent="0.2">
      <c r="A41" s="27"/>
      <c r="B41" s="27"/>
      <c r="C41" s="27"/>
      <c r="D41" s="27"/>
      <c r="E41" s="27"/>
      <c r="F41" s="27"/>
      <c r="G41" s="27"/>
    </row>
  </sheetData>
  <mergeCells count="49">
    <mergeCell ref="A37:H37"/>
    <mergeCell ref="A17:H17"/>
    <mergeCell ref="A28:H28"/>
    <mergeCell ref="F20:H20"/>
    <mergeCell ref="F21:H21"/>
    <mergeCell ref="F22:H22"/>
    <mergeCell ref="F23:H23"/>
    <mergeCell ref="F24:H24"/>
    <mergeCell ref="A35:C35"/>
    <mergeCell ref="A36:C36"/>
    <mergeCell ref="G29:H29"/>
    <mergeCell ref="G30:H30"/>
    <mergeCell ref="G31:H31"/>
    <mergeCell ref="G32:H32"/>
    <mergeCell ref="G33:H33"/>
    <mergeCell ref="G34:H34"/>
    <mergeCell ref="G35:H35"/>
    <mergeCell ref="G36:H36"/>
    <mergeCell ref="A30:C30"/>
    <mergeCell ref="A31:C31"/>
    <mergeCell ref="A32:C32"/>
    <mergeCell ref="A33:C33"/>
    <mergeCell ref="A34:C34"/>
    <mergeCell ref="A29:C29"/>
    <mergeCell ref="A1:H1"/>
    <mergeCell ref="A2:H2"/>
    <mergeCell ref="A10:H10"/>
    <mergeCell ref="A18:H18"/>
    <mergeCell ref="A9:H9"/>
    <mergeCell ref="A3:H3"/>
    <mergeCell ref="E4:H4"/>
    <mergeCell ref="E5:H5"/>
    <mergeCell ref="E6:H6"/>
    <mergeCell ref="E7:H7"/>
    <mergeCell ref="E8:H8"/>
    <mergeCell ref="A25:H25"/>
    <mergeCell ref="A26:H26"/>
    <mergeCell ref="B27:H27"/>
    <mergeCell ref="A20:D20"/>
    <mergeCell ref="A24:D24"/>
    <mergeCell ref="A21:D21"/>
    <mergeCell ref="A22:D22"/>
    <mergeCell ref="A23:D23"/>
    <mergeCell ref="A4:C4"/>
    <mergeCell ref="A5:C5"/>
    <mergeCell ref="A6:C6"/>
    <mergeCell ref="A7:C7"/>
    <mergeCell ref="A8:C8"/>
    <mergeCell ref="A19:H19"/>
  </mergeCells>
  <conditionalFormatting sqref="E22">
    <cfRule type="expression" dxfId="2" priority="5">
      <formula>$E$19="Waste Oil"</formula>
    </cfRule>
  </conditionalFormatting>
  <conditionalFormatting sqref="E21">
    <cfRule type="expression" dxfId="1" priority="4">
      <formula>OR($E$19="Waste Oil", $E$19="No. 2 Fuel Oil", $E$19="Propane")</formula>
    </cfRule>
  </conditionalFormatting>
  <conditionalFormatting sqref="D8">
    <cfRule type="expression" dxfId="0" priority="11">
      <formula>$I$7&gt;9999999</formula>
    </cfRule>
  </conditionalFormatting>
  <dataValidations count="9">
    <dataValidation allowBlank="1" showInputMessage="1" showErrorMessage="1" prompt="Input asphalt volatility factor. If no data is available, use 0.5." sqref="D4" xr:uid="{2BA17762-32B2-4091-BA0C-A78B37D49296}"/>
    <dataValidation allowBlank="1" showInputMessage="1" showErrorMessage="1" prompt="Input loadout temperature in fahrenheit." sqref="D5" xr:uid="{93B35AAB-4CE3-43D8-8763-5668B7151E54}"/>
    <dataValidation allowBlank="1" showInputMessage="1" showErrorMessage="1" prompt="Input silo filling temperature in fahrenheit." sqref="D6" xr:uid="{EB5F014C-5845-41AE-B286-CD77B351F392}"/>
    <dataValidation allowBlank="1" showInputMessage="1" showErrorMessage="1" prompt="Input truck loadout rate in tons per hour." sqref="D7" xr:uid="{42AF7880-240C-4644-8CB0-3CE8E02CB7E5}"/>
    <dataValidation allowBlank="1" showInputMessage="1" showErrorMessage="1" prompt="Input truck loadout rate in tons per year." sqref="D8" xr:uid="{B6DDD51F-FBF6-4D84-91A2-A81B4658CE8A}"/>
    <dataValidation allowBlank="1" showInputMessage="1" showErrorMessage="1" prompt="Enter sulfur percentage in fuel here if using waste oil, propane, or a combination of fuels." sqref="E21" xr:uid="{CFDFC69C-AC12-4921-AE37-F9E39AC56030}"/>
    <dataValidation allowBlank="1" showInputMessage="1" showErrorMessage="1" prompt="Enter ash percentage if using waste oil." sqref="E22" xr:uid="{A3E90BDD-E0DB-46A2-9A38-1FC663F595AD}"/>
    <dataValidation allowBlank="1" showInputMessage="1" showErrorMessage="1" prompt="Input gallons per hour of fuel usage." sqref="E23" xr:uid="{D20CFBBD-E9B4-4327-B3FD-DC0AFDDBB4B9}"/>
    <dataValidation allowBlank="1" showInputMessage="1" showErrorMessage="1" prompt="Input gallons per year of fuel usage." sqref="E24" xr:uid="{A23434FD-EBA5-4EB7-B61C-980D4B58332D}"/>
  </dataValidations>
  <pageMargins left="0.7" right="0.7" top="0.75" bottom="0.75" header="0.3" footer="0.3"/>
  <pageSetup scale="8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Pick natural gas, waste oil, propane, or a combination of fuels including number 2 fuel oil from this drop down list." xr:uid="{56FCF27B-6921-4A51-9947-A62E3DC0CE46}">
          <x14:formula1>
            <xm:f>'Drop Down lists'!$A$10:$A$13</xm:f>
          </x14:formula1>
          <xm:sqref>E20</xm:sqref>
        </x14:dataValidation>
        <x14:dataValidation type="list" allowBlank="1" showInputMessage="1" showErrorMessage="1" prompt="Pick AP-42 Chapter 1 or Chapter 11 carbon monoxide emission factors as desired." xr:uid="{20585979-C2DD-411C-BF9B-CB6604FA48DB}">
          <x14:formula1>
            <xm:f>'Drop Down lists'!$A$15:$A$16</xm:f>
          </x14:formula1>
          <xm:sqref>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BF92-65AE-4A66-B18F-D33DB071D521}">
  <sheetPr codeName="Sheet8">
    <pageSetUpPr fitToPage="1"/>
  </sheetPr>
  <dimension ref="A1:E50"/>
  <sheetViews>
    <sheetView workbookViewId="0">
      <selection sqref="A1:E1"/>
    </sheetView>
  </sheetViews>
  <sheetFormatPr defaultColWidth="0" defaultRowHeight="15" zeroHeight="1" x14ac:dyDescent="0.25"/>
  <cols>
    <col min="1" max="1" width="24.42578125" customWidth="1"/>
    <col min="2" max="2" width="19.140625" customWidth="1"/>
    <col min="3" max="3" width="19.85546875" customWidth="1"/>
    <col min="4" max="5" width="9.140625" style="74" customWidth="1"/>
    <col min="6" max="16384" width="9.140625" hidden="1"/>
  </cols>
  <sheetData>
    <row r="1" spans="1:5" ht="30" customHeight="1" x14ac:dyDescent="0.3">
      <c r="A1" s="309" t="s">
        <v>197</v>
      </c>
      <c r="B1" s="309"/>
      <c r="C1" s="309"/>
      <c r="D1" s="309"/>
      <c r="E1" s="309"/>
    </row>
    <row r="2" spans="1:5" ht="46.5" customHeight="1" thickBot="1" x14ac:dyDescent="0.3">
      <c r="A2" s="242" t="s">
        <v>211</v>
      </c>
      <c r="B2" s="242"/>
      <c r="C2" s="242"/>
      <c r="D2" s="242"/>
      <c r="E2" s="242"/>
    </row>
    <row r="3" spans="1:5" ht="15.75" thickBot="1" x14ac:dyDescent="0.3">
      <c r="A3" s="72" t="s">
        <v>198</v>
      </c>
      <c r="B3" s="72" t="s">
        <v>199</v>
      </c>
      <c r="C3" s="72" t="s">
        <v>203</v>
      </c>
      <c r="D3" s="73" t="s">
        <v>125</v>
      </c>
      <c r="E3" s="73" t="s">
        <v>126</v>
      </c>
    </row>
    <row r="4" spans="1:5" x14ac:dyDescent="0.25">
      <c r="A4" s="184"/>
      <c r="B4" s="87" t="s">
        <v>190</v>
      </c>
      <c r="C4" s="78" t="s">
        <v>191</v>
      </c>
      <c r="D4" s="79">
        <f>SUM('Dryer and Cold Mix'!F13)</f>
        <v>0</v>
      </c>
      <c r="E4" s="80">
        <f>SUM('Dryer and Cold Mix'!F14)</f>
        <v>0</v>
      </c>
    </row>
    <row r="5" spans="1:5" ht="18" x14ac:dyDescent="0.35">
      <c r="A5" s="71" t="s">
        <v>166</v>
      </c>
      <c r="B5" s="71" t="s">
        <v>166</v>
      </c>
      <c r="C5" s="81" t="s">
        <v>200</v>
      </c>
      <c r="D5" s="82">
        <f>SUM('Dryer and Cold Mix'!G13)</f>
        <v>0</v>
      </c>
      <c r="E5" s="83">
        <f>SUM('Dryer and Cold Mix'!G14)</f>
        <v>0</v>
      </c>
    </row>
    <row r="6" spans="1:5" ht="18" x14ac:dyDescent="0.35">
      <c r="A6" s="71" t="s">
        <v>166</v>
      </c>
      <c r="B6" s="71" t="s">
        <v>166</v>
      </c>
      <c r="C6" s="81" t="s">
        <v>201</v>
      </c>
      <c r="D6" s="82">
        <f>SUM('Dryer and Cold Mix'!H13)</f>
        <v>0</v>
      </c>
      <c r="E6" s="83">
        <f>SUM('Dryer and Cold Mix'!H14)</f>
        <v>0</v>
      </c>
    </row>
    <row r="7" spans="1:5" x14ac:dyDescent="0.25">
      <c r="A7" s="71" t="s">
        <v>166</v>
      </c>
      <c r="B7" s="71" t="s">
        <v>166</v>
      </c>
      <c r="C7" s="81" t="s">
        <v>123</v>
      </c>
      <c r="D7" s="82">
        <f>SUM('Dryer and Cold Mix'!B13)</f>
        <v>0</v>
      </c>
      <c r="E7" s="83">
        <f>SUM('Dryer and Cold Mix'!B14)</f>
        <v>0</v>
      </c>
    </row>
    <row r="8" spans="1:5" x14ac:dyDescent="0.25">
      <c r="A8" s="71" t="s">
        <v>166</v>
      </c>
      <c r="B8" s="71" t="s">
        <v>166</v>
      </c>
      <c r="C8" s="81" t="s">
        <v>192</v>
      </c>
      <c r="D8" s="82">
        <f>SUM('Dryer and Cold Mix'!B26:F26)</f>
        <v>0</v>
      </c>
      <c r="E8" s="83">
        <f>SUM('Dryer and Cold Mix'!B27:F27)</f>
        <v>0</v>
      </c>
    </row>
    <row r="9" spans="1:5" x14ac:dyDescent="0.25">
      <c r="A9" s="71" t="s">
        <v>166</v>
      </c>
      <c r="B9" s="71" t="s">
        <v>166</v>
      </c>
      <c r="C9" s="81" t="s">
        <v>193</v>
      </c>
      <c r="D9" s="82">
        <f>SUM('Dryer and Cold Mix'!I13)</f>
        <v>0</v>
      </c>
      <c r="E9" s="83">
        <f>SUM('Dryer and Cold Mix'!I14)</f>
        <v>0</v>
      </c>
    </row>
    <row r="10" spans="1:5" x14ac:dyDescent="0.25">
      <c r="A10" s="71" t="s">
        <v>166</v>
      </c>
      <c r="B10" s="71" t="s">
        <v>166</v>
      </c>
      <c r="C10" s="81" t="s">
        <v>127</v>
      </c>
      <c r="D10" s="82">
        <f>SUM('Dryer and Cold Mix'!C13)</f>
        <v>0</v>
      </c>
      <c r="E10" s="83">
        <f>SUM('Dryer and Cold Mix'!C14)</f>
        <v>0</v>
      </c>
    </row>
    <row r="11" spans="1:5" x14ac:dyDescent="0.25">
      <c r="A11" s="71" t="s">
        <v>166</v>
      </c>
      <c r="B11" s="71" t="s">
        <v>166</v>
      </c>
      <c r="C11" s="81" t="s">
        <v>46</v>
      </c>
      <c r="D11" s="82">
        <f>SUM('Dryer and Cold Mix'!D13)</f>
        <v>0</v>
      </c>
      <c r="E11" s="83">
        <f>SUM('Dryer and Cold Mix'!D14)</f>
        <v>0</v>
      </c>
    </row>
    <row r="12" spans="1:5" ht="18.75" thickBot="1" x14ac:dyDescent="0.4">
      <c r="A12" s="71" t="s">
        <v>166</v>
      </c>
      <c r="B12" s="71" t="s">
        <v>166</v>
      </c>
      <c r="C12" s="84" t="s">
        <v>202</v>
      </c>
      <c r="D12" s="85">
        <f>SUM('Dryer and Cold Mix'!E13)</f>
        <v>0</v>
      </c>
      <c r="E12" s="86">
        <f>SUM('Dryer and Cold Mix'!E14)</f>
        <v>0</v>
      </c>
    </row>
    <row r="13" spans="1:5" ht="15.75" thickBot="1" x14ac:dyDescent="0.3">
      <c r="A13" s="235" t="s">
        <v>166</v>
      </c>
      <c r="B13" s="235"/>
      <c r="C13" s="235"/>
      <c r="D13" s="235"/>
      <c r="E13" s="235"/>
    </row>
    <row r="14" spans="1:5" ht="15.75" thickBot="1" x14ac:dyDescent="0.3">
      <c r="A14" s="72" t="s">
        <v>198</v>
      </c>
      <c r="B14" s="72" t="s">
        <v>199</v>
      </c>
      <c r="C14" s="72" t="s">
        <v>203</v>
      </c>
      <c r="D14" s="73" t="s">
        <v>125</v>
      </c>
      <c r="E14" s="73" t="s">
        <v>126</v>
      </c>
    </row>
    <row r="15" spans="1:5" x14ac:dyDescent="0.25">
      <c r="A15" s="184"/>
      <c r="B15" s="88" t="s">
        <v>210</v>
      </c>
      <c r="C15" s="78" t="s">
        <v>191</v>
      </c>
      <c r="D15" s="79">
        <f>SUM('Lime Silo(s)'!B10,'Lime Silo(s)'!E10,'Lime Silo(s)'!B24,'Lime Silo(s)'!E24,'Lime Silo(s)'!B35,'Lime Silo(s)'!E35,'Lime Silo(s)'!B42,'Lime Silo(s)'!E42)</f>
        <v>0</v>
      </c>
      <c r="E15" s="80">
        <f>SUM('Lime Silo(s)'!B11,'Lime Silo(s)'!E11,'Lime Silo(s)'!B25,'Lime Silo(s)'!E25,'Lime Silo(s)'!B36,'Lime Silo(s)'!E36,'Lime Silo(s)'!B43,'Lime Silo(s)'!E43)</f>
        <v>0</v>
      </c>
    </row>
    <row r="16" spans="1:5" ht="18" x14ac:dyDescent="0.35">
      <c r="A16" s="71" t="s">
        <v>166</v>
      </c>
      <c r="B16" s="71" t="s">
        <v>166</v>
      </c>
      <c r="C16" s="81" t="s">
        <v>200</v>
      </c>
      <c r="D16" s="82">
        <f>SUM('Lime Silo(s)'!B12,'Lime Silo(s)'!E12,'Lime Silo(s)'!B26,'Lime Silo(s)'!E26,'Lime Silo(s)'!B35,'Lime Silo(s)'!E35,'Lime Silo(s)'!B42,'Lime Silo(s)'!E42)</f>
        <v>0</v>
      </c>
      <c r="E16" s="83">
        <f>SUM('Lime Silo(s)'!B13,'Lime Silo(s)'!E13,'Lime Silo(s)'!B27,'Lime Silo(s)'!E27,'Lime Silo(s)'!B36,'Lime Silo(s)'!E36,'Lime Silo(s)'!B43,'Lime Silo(s)'!E43)</f>
        <v>0</v>
      </c>
    </row>
    <row r="17" spans="1:5" ht="18.75" thickBot="1" x14ac:dyDescent="0.4">
      <c r="A17" s="71" t="s">
        <v>166</v>
      </c>
      <c r="B17" s="71" t="s">
        <v>166</v>
      </c>
      <c r="C17" s="84" t="s">
        <v>201</v>
      </c>
      <c r="D17" s="85">
        <f>SUM('Lime Silo(s)'!B14,'Lime Silo(s)'!E14,'Lime Silo(s)'!B28,'Lime Silo(s)'!E28,'Lime Silo(s)'!B35,'Lime Silo(s)'!E35,'Lime Silo(s)'!B42,'Lime Silo(s)'!E42)</f>
        <v>0</v>
      </c>
      <c r="E17" s="86">
        <f>SUM('Lime Silo(s)'!B15,'Lime Silo(s)'!E15,'Lime Silo(s)'!B29,'Lime Silo(s)'!E29,'Lime Silo(s)'!B36,'Lime Silo(s)'!E36,'Lime Silo(s)'!B43,'Lime Silo(s)'!E43)</f>
        <v>0</v>
      </c>
    </row>
    <row r="18" spans="1:5" ht="15.75" thickBot="1" x14ac:dyDescent="0.3">
      <c r="A18" s="235" t="s">
        <v>166</v>
      </c>
      <c r="B18" s="235"/>
      <c r="C18" s="235"/>
      <c r="D18" s="235"/>
      <c r="E18" s="235"/>
    </row>
    <row r="19" spans="1:5" ht="15.75" thickBot="1" x14ac:dyDescent="0.3">
      <c r="A19" s="72" t="s">
        <v>198</v>
      </c>
      <c r="B19" s="72" t="s">
        <v>199</v>
      </c>
      <c r="C19" s="72" t="s">
        <v>203</v>
      </c>
      <c r="D19" s="73" t="s">
        <v>125</v>
      </c>
      <c r="E19" s="73" t="s">
        <v>126</v>
      </c>
    </row>
    <row r="20" spans="1:5" ht="31.5" customHeight="1" x14ac:dyDescent="0.25">
      <c r="A20" s="184"/>
      <c r="B20" s="90" t="s">
        <v>195</v>
      </c>
      <c r="C20" s="81" t="s">
        <v>191</v>
      </c>
      <c r="D20" s="82">
        <f>SUM('Material Handling'!B36)</f>
        <v>0</v>
      </c>
      <c r="E20" s="82">
        <f>SUM('Material Handling'!C36)</f>
        <v>0</v>
      </c>
    </row>
    <row r="21" spans="1:5" ht="18" x14ac:dyDescent="0.35">
      <c r="A21" s="71" t="s">
        <v>166</v>
      </c>
      <c r="B21" s="71" t="s">
        <v>166</v>
      </c>
      <c r="C21" s="81" t="s">
        <v>200</v>
      </c>
      <c r="D21" s="82">
        <f>SUM('Material Handling'!D36)</f>
        <v>0</v>
      </c>
      <c r="E21" s="82">
        <f>SUM('Material Handling'!E36)</f>
        <v>0</v>
      </c>
    </row>
    <row r="22" spans="1:5" ht="18" x14ac:dyDescent="0.35">
      <c r="A22" s="71" t="s">
        <v>166</v>
      </c>
      <c r="B22" s="71" t="s">
        <v>166</v>
      </c>
      <c r="C22" s="81" t="s">
        <v>201</v>
      </c>
      <c r="D22" s="82">
        <f>SUM('Material Handling'!G36)</f>
        <v>0</v>
      </c>
      <c r="E22" s="82">
        <f>SUM('Material Handling'!G36)</f>
        <v>0</v>
      </c>
    </row>
    <row r="23" spans="1:5" ht="15.75" thickBot="1" x14ac:dyDescent="0.3">
      <c r="A23" s="308" t="s">
        <v>166</v>
      </c>
      <c r="B23" s="308"/>
      <c r="C23" s="308"/>
      <c r="D23" s="308"/>
      <c r="E23" s="308"/>
    </row>
    <row r="24" spans="1:5" ht="15.75" thickBot="1" x14ac:dyDescent="0.3">
      <c r="A24" s="72" t="s">
        <v>198</v>
      </c>
      <c r="B24" s="72" t="s">
        <v>199</v>
      </c>
      <c r="C24" s="72" t="s">
        <v>203</v>
      </c>
      <c r="D24" s="73" t="s">
        <v>125</v>
      </c>
      <c r="E24" s="73" t="s">
        <v>126</v>
      </c>
    </row>
    <row r="25" spans="1:5" ht="15.75" thickBot="1" x14ac:dyDescent="0.3">
      <c r="A25" s="184"/>
      <c r="B25" s="81" t="s">
        <v>209</v>
      </c>
      <c r="C25" s="81" t="s">
        <v>191</v>
      </c>
      <c r="D25" s="89" t="s">
        <v>166</v>
      </c>
      <c r="E25" s="79">
        <f>SUM(Stockpiles!B13:E13)</f>
        <v>0</v>
      </c>
    </row>
    <row r="26" spans="1:5" ht="18.75" thickBot="1" x14ac:dyDescent="0.4">
      <c r="A26" s="71" t="s">
        <v>166</v>
      </c>
      <c r="B26" s="71" t="s">
        <v>166</v>
      </c>
      <c r="C26" s="81" t="s">
        <v>200</v>
      </c>
      <c r="D26" s="89" t="s">
        <v>166</v>
      </c>
      <c r="E26" s="79">
        <f>SUM(Stockpiles!B14:E14)</f>
        <v>0</v>
      </c>
    </row>
    <row r="27" spans="1:5" ht="18.75" thickBot="1" x14ac:dyDescent="0.4">
      <c r="A27" s="71"/>
      <c r="B27" s="71"/>
      <c r="C27" s="81" t="s">
        <v>201</v>
      </c>
      <c r="D27" s="89" t="s">
        <v>166</v>
      </c>
      <c r="E27" s="79">
        <f>SUM(Stockpiles!B15:E15)</f>
        <v>0</v>
      </c>
    </row>
    <row r="28" spans="1:5" x14ac:dyDescent="0.25">
      <c r="A28" s="71" t="s">
        <v>166</v>
      </c>
      <c r="B28" s="71" t="s">
        <v>166</v>
      </c>
      <c r="C28" s="81" t="s">
        <v>192</v>
      </c>
      <c r="D28" s="79">
        <f>SUM('Dryer and Cold Mix'!B28:F28)</f>
        <v>0</v>
      </c>
      <c r="E28" s="79">
        <f>SUM('Dryer and Cold Mix'!B29:F29)</f>
        <v>0</v>
      </c>
    </row>
    <row r="29" spans="1:5" ht="15.75" thickBot="1" x14ac:dyDescent="0.3">
      <c r="A29" s="235" t="s">
        <v>166</v>
      </c>
      <c r="B29" s="235"/>
      <c r="C29" s="235"/>
      <c r="D29" s="235"/>
      <c r="E29" s="235"/>
    </row>
    <row r="30" spans="1:5" ht="15.75" thickBot="1" x14ac:dyDescent="0.3">
      <c r="A30" s="72" t="s">
        <v>198</v>
      </c>
      <c r="B30" s="72" t="s">
        <v>199</v>
      </c>
      <c r="C30" s="72" t="s">
        <v>203</v>
      </c>
      <c r="D30" s="73" t="s">
        <v>125</v>
      </c>
      <c r="E30" s="73" t="s">
        <v>126</v>
      </c>
    </row>
    <row r="31" spans="1:5" ht="33.75" customHeight="1" x14ac:dyDescent="0.25">
      <c r="A31" s="184"/>
      <c r="B31" s="90" t="s">
        <v>204</v>
      </c>
      <c r="C31" s="81" t="s">
        <v>191</v>
      </c>
      <c r="D31" s="82">
        <f>SUM('Loadout and Heater'!C12,'Loadout and Heater'!G12)</f>
        <v>0</v>
      </c>
      <c r="E31" s="82">
        <f>SUM('Loadout and Heater'!D12,'Loadout and Heater'!H12)</f>
        <v>0</v>
      </c>
    </row>
    <row r="32" spans="1:5" x14ac:dyDescent="0.25">
      <c r="A32" s="71" t="s">
        <v>166</v>
      </c>
      <c r="B32" s="71" t="s">
        <v>166</v>
      </c>
      <c r="C32" s="81" t="s">
        <v>46</v>
      </c>
      <c r="D32" s="82">
        <f>SUM('Loadout and Heater'!C15,'Loadout and Heater'!G15)</f>
        <v>0</v>
      </c>
      <c r="E32" s="82">
        <f>SUM('Loadout and Heater'!D15,'Loadout and Heater'!H15)</f>
        <v>0</v>
      </c>
    </row>
    <row r="33" spans="1:5" x14ac:dyDescent="0.25">
      <c r="A33" s="71" t="s">
        <v>166</v>
      </c>
      <c r="B33" s="71" t="s">
        <v>166</v>
      </c>
      <c r="C33" s="81" t="s">
        <v>123</v>
      </c>
      <c r="D33" s="82">
        <f>SUM('Loadout and Heater'!C16,'Loadout and Heater'!G16)</f>
        <v>0</v>
      </c>
      <c r="E33" s="82">
        <f>SUM('Loadout and Heater'!D16,'Loadout and Heater'!H16)</f>
        <v>0</v>
      </c>
    </row>
    <row r="34" spans="1:5" ht="15.75" thickBot="1" x14ac:dyDescent="0.3">
      <c r="A34" s="235" t="s">
        <v>166</v>
      </c>
      <c r="B34" s="235"/>
      <c r="C34" s="235"/>
      <c r="D34" s="235"/>
      <c r="E34" s="235"/>
    </row>
    <row r="35" spans="1:5" ht="15.75" thickBot="1" x14ac:dyDescent="0.3">
      <c r="A35" s="72" t="s">
        <v>198</v>
      </c>
      <c r="B35" s="72" t="s">
        <v>199</v>
      </c>
      <c r="C35" s="72" t="s">
        <v>203</v>
      </c>
      <c r="D35" s="73" t="s">
        <v>125</v>
      </c>
      <c r="E35" s="73" t="s">
        <v>126</v>
      </c>
    </row>
    <row r="36" spans="1:5" x14ac:dyDescent="0.25">
      <c r="A36" s="184"/>
      <c r="B36" s="90" t="s">
        <v>208</v>
      </c>
      <c r="C36" s="81" t="s">
        <v>191</v>
      </c>
      <c r="D36" s="82">
        <f>SUM('Loadout and Heater'!E34)</f>
        <v>0</v>
      </c>
      <c r="E36" s="82">
        <f>SUM('Loadout and Heater'!F34)</f>
        <v>0</v>
      </c>
    </row>
    <row r="37" spans="1:5" ht="18" x14ac:dyDescent="0.35">
      <c r="A37" s="71" t="s">
        <v>166</v>
      </c>
      <c r="B37" s="71" t="s">
        <v>166</v>
      </c>
      <c r="C37" s="81" t="s">
        <v>200</v>
      </c>
      <c r="D37" s="82">
        <f>SUM('Loadout and Heater'!E35)</f>
        <v>0</v>
      </c>
      <c r="E37" s="82">
        <f>SUM('Loadout and Heater'!F35)</f>
        <v>0</v>
      </c>
    </row>
    <row r="38" spans="1:5" ht="18" x14ac:dyDescent="0.35">
      <c r="A38" s="71" t="s">
        <v>166</v>
      </c>
      <c r="B38" s="71" t="s">
        <v>166</v>
      </c>
      <c r="C38" s="81" t="s">
        <v>201</v>
      </c>
      <c r="D38" s="82">
        <f>SUM('Loadout and Heater'!E36)</f>
        <v>0</v>
      </c>
      <c r="E38" s="82">
        <f>SUM('Loadout and Heater'!F36)</f>
        <v>0</v>
      </c>
    </row>
    <row r="39" spans="1:5" x14ac:dyDescent="0.25">
      <c r="A39" s="71" t="s">
        <v>166</v>
      </c>
      <c r="B39" s="71" t="s">
        <v>166</v>
      </c>
      <c r="C39" s="81" t="s">
        <v>123</v>
      </c>
      <c r="D39" s="82">
        <f>SUM('Loadout and Heater'!E32)</f>
        <v>0</v>
      </c>
      <c r="E39" s="82">
        <f>SUM('Loadout and Heater'!F32)</f>
        <v>0</v>
      </c>
    </row>
    <row r="40" spans="1:5" x14ac:dyDescent="0.25">
      <c r="A40" s="71" t="s">
        <v>166</v>
      </c>
      <c r="B40" s="71" t="s">
        <v>166</v>
      </c>
      <c r="C40" s="81" t="s">
        <v>127</v>
      </c>
      <c r="D40" s="82">
        <f>SUM('Loadout and Heater'!E31)</f>
        <v>0</v>
      </c>
      <c r="E40" s="82">
        <f>SUM('Loadout and Heater'!F31)</f>
        <v>0</v>
      </c>
    </row>
    <row r="41" spans="1:5" x14ac:dyDescent="0.25">
      <c r="A41" s="71" t="s">
        <v>166</v>
      </c>
      <c r="B41" s="71" t="s">
        <v>166</v>
      </c>
      <c r="C41" s="81" t="s">
        <v>46</v>
      </c>
      <c r="D41" s="82">
        <f>SUM('Loadout and Heater'!E33)</f>
        <v>0</v>
      </c>
      <c r="E41" s="82">
        <f>SUM('Loadout and Heater'!F33)</f>
        <v>0</v>
      </c>
    </row>
    <row r="42" spans="1:5" ht="18" x14ac:dyDescent="0.35">
      <c r="A42" s="71" t="s">
        <v>166</v>
      </c>
      <c r="B42" s="71" t="s">
        <v>166</v>
      </c>
      <c r="C42" s="81" t="s">
        <v>202</v>
      </c>
      <c r="D42" s="82">
        <f>SUM('Loadout and Heater'!E30)</f>
        <v>0</v>
      </c>
      <c r="E42" s="82">
        <f>SUM('Loadout and Heater'!F30)</f>
        <v>0</v>
      </c>
    </row>
    <row r="43" spans="1:5" x14ac:dyDescent="0.25">
      <c r="A43" s="235" t="s">
        <v>167</v>
      </c>
      <c r="B43" s="235"/>
      <c r="C43" s="235"/>
      <c r="D43" s="235"/>
      <c r="E43" s="235"/>
    </row>
    <row r="44" spans="1:5" hidden="1" x14ac:dyDescent="0.25"/>
    <row r="45" spans="1:5" hidden="1" x14ac:dyDescent="0.25"/>
    <row r="46" spans="1:5" hidden="1" x14ac:dyDescent="0.25"/>
    <row r="47" spans="1:5" hidden="1" x14ac:dyDescent="0.25"/>
    <row r="48" spans="1:5" hidden="1" x14ac:dyDescent="0.25"/>
    <row r="49" hidden="1" x14ac:dyDescent="0.25"/>
    <row r="50" hidden="1" x14ac:dyDescent="0.25"/>
  </sheetData>
  <mergeCells count="8">
    <mergeCell ref="A23:E23"/>
    <mergeCell ref="A1:E1"/>
    <mergeCell ref="A2:E2"/>
    <mergeCell ref="A43:E43"/>
    <mergeCell ref="A34:E34"/>
    <mergeCell ref="A29:E29"/>
    <mergeCell ref="A13:E13"/>
    <mergeCell ref="A18:E18"/>
  </mergeCells>
  <dataValidations count="6">
    <dataValidation allowBlank="1" showInputMessage="1" showErrorMessage="1" prompt="Input dryer emission point number." sqref="A4" xr:uid="{3B12F816-B102-4626-A19E-784C7A39F48C}"/>
    <dataValidation allowBlank="1" showInputMessage="1" showErrorMessage="1" prompt="Input lime silo(s) emission point number(s)." sqref="A15" xr:uid="{D7C4B59C-2045-42F2-B923-6E2C69F85FA3}"/>
    <dataValidation allowBlank="1" showInputMessage="1" showErrorMessage="1" prompt="Input bulk material handling and processing emission point numbers as a range." sqref="A20" xr:uid="{94443507-B88A-4E73-B242-17CF081D069B}"/>
    <dataValidation allowBlank="1" showInputMessage="1" showErrorMessage="1" prompt="Input stockpile emission point number(s)." sqref="A25" xr:uid="{C2AACB28-014B-4C18-B29C-BEF68B8C9C9C}"/>
    <dataValidation allowBlank="1" showInputMessage="1" showErrorMessage="1" prompt="Input asphalt silo filling and loadout emission point numbers." sqref="A31" xr:uid="{64F92003-BFBA-4B4A-B7F2-B9BF3AE7800E}"/>
    <dataValidation allowBlank="1" showInputMessage="1" showErrorMessage="1" prompt="Input hot oil heater(s) emission point number(s)." sqref="A36" xr:uid="{8BC10AA3-D568-4309-9E43-F1956284820D}"/>
  </dataValidations>
  <pageMargins left="0.7" right="0.7" top="0.75" bottom="0.75" header="0.3" footer="0.3"/>
  <pageSetup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E1A9-1F8C-4010-9B16-94CD8301FD06}">
  <sheetPr codeName="Sheet9"/>
  <dimension ref="A1:A44"/>
  <sheetViews>
    <sheetView workbookViewId="0">
      <selection activeCell="J19" sqref="J19"/>
    </sheetView>
  </sheetViews>
  <sheetFormatPr defaultRowHeight="15" x14ac:dyDescent="0.25"/>
  <cols>
    <col min="1" max="16384" width="9.140625" style="70"/>
  </cols>
  <sheetData>
    <row r="1" spans="1:1" x14ac:dyDescent="0.25">
      <c r="A1" s="70" t="s">
        <v>37</v>
      </c>
    </row>
    <row r="2" spans="1:1" x14ac:dyDescent="0.25">
      <c r="A2" s="70" t="s">
        <v>62</v>
      </c>
    </row>
    <row r="3" spans="1:1" x14ac:dyDescent="0.25">
      <c r="A3" s="70" t="s">
        <v>58</v>
      </c>
    </row>
    <row r="4" spans="1:1" x14ac:dyDescent="0.25">
      <c r="A4" s="70" t="s">
        <v>63</v>
      </c>
    </row>
    <row r="5" spans="1:1" x14ac:dyDescent="0.25">
      <c r="A5" s="70" t="s">
        <v>64</v>
      </c>
    </row>
    <row r="6" spans="1:1" x14ac:dyDescent="0.25">
      <c r="A6" s="70" t="s">
        <v>65</v>
      </c>
    </row>
    <row r="7" spans="1:1" x14ac:dyDescent="0.25">
      <c r="A7" s="70" t="s">
        <v>43</v>
      </c>
    </row>
    <row r="8" spans="1:1" x14ac:dyDescent="0.25">
      <c r="A8" s="70" t="s">
        <v>66</v>
      </c>
    </row>
    <row r="10" spans="1:1" x14ac:dyDescent="0.25">
      <c r="A10" s="70" t="s">
        <v>124</v>
      </c>
    </row>
    <row r="11" spans="1:1" x14ac:dyDescent="0.25">
      <c r="A11" s="70" t="s">
        <v>64</v>
      </c>
    </row>
    <row r="12" spans="1:1" x14ac:dyDescent="0.25">
      <c r="A12" s="70" t="s">
        <v>130</v>
      </c>
    </row>
    <row r="13" spans="1:1" x14ac:dyDescent="0.25">
      <c r="A13" s="70" t="s">
        <v>65</v>
      </c>
    </row>
    <row r="15" spans="1:1" x14ac:dyDescent="0.25">
      <c r="A15" s="70" t="s">
        <v>129</v>
      </c>
    </row>
    <row r="16" spans="1:1" x14ac:dyDescent="0.25">
      <c r="A16" s="70" t="s">
        <v>128</v>
      </c>
    </row>
    <row r="18" spans="1:1" x14ac:dyDescent="0.25">
      <c r="A18" s="70" t="s">
        <v>162</v>
      </c>
    </row>
    <row r="19" spans="1:1" x14ac:dyDescent="0.25">
      <c r="A19" s="70" t="s">
        <v>163</v>
      </c>
    </row>
    <row r="20" spans="1:1" x14ac:dyDescent="0.25">
      <c r="A20" s="70" t="s">
        <v>159</v>
      </c>
    </row>
    <row r="22" spans="1:1" x14ac:dyDescent="0.25">
      <c r="A22" s="70" t="s">
        <v>160</v>
      </c>
    </row>
    <row r="23" spans="1:1" x14ac:dyDescent="0.25">
      <c r="A23" s="70" t="s">
        <v>161</v>
      </c>
    </row>
    <row r="25" spans="1:1" x14ac:dyDescent="0.25">
      <c r="A25" s="70">
        <v>1</v>
      </c>
    </row>
    <row r="26" spans="1:1" x14ac:dyDescent="0.25">
      <c r="A26" s="70">
        <v>2</v>
      </c>
    </row>
    <row r="27" spans="1:1" x14ac:dyDescent="0.25">
      <c r="A27" s="70">
        <v>3</v>
      </c>
    </row>
    <row r="28" spans="1:1" x14ac:dyDescent="0.25">
      <c r="A28" s="70">
        <v>4</v>
      </c>
    </row>
    <row r="29" spans="1:1" x14ac:dyDescent="0.25">
      <c r="A29" s="70">
        <v>5</v>
      </c>
    </row>
    <row r="30" spans="1:1" x14ac:dyDescent="0.25">
      <c r="A30" s="70">
        <v>6</v>
      </c>
    </row>
    <row r="31" spans="1:1" x14ac:dyDescent="0.25">
      <c r="A31" s="70">
        <v>7</v>
      </c>
    </row>
    <row r="32" spans="1:1" x14ac:dyDescent="0.25">
      <c r="A32" s="70">
        <v>8</v>
      </c>
    </row>
    <row r="33" spans="1:1" x14ac:dyDescent="0.25">
      <c r="A33" s="70">
        <v>9</v>
      </c>
    </row>
    <row r="34" spans="1:1" x14ac:dyDescent="0.25">
      <c r="A34" s="70">
        <v>10</v>
      </c>
    </row>
    <row r="35" spans="1:1" x14ac:dyDescent="0.25">
      <c r="A35" s="70">
        <v>11</v>
      </c>
    </row>
    <row r="36" spans="1:1" x14ac:dyDescent="0.25">
      <c r="A36" s="70">
        <v>12</v>
      </c>
    </row>
    <row r="37" spans="1:1" x14ac:dyDescent="0.25">
      <c r="A37" s="70">
        <v>13</v>
      </c>
    </row>
    <row r="38" spans="1:1" x14ac:dyDescent="0.25">
      <c r="A38" s="70">
        <v>14</v>
      </c>
    </row>
    <row r="39" spans="1:1" x14ac:dyDescent="0.25">
      <c r="A39" s="70">
        <v>15</v>
      </c>
    </row>
    <row r="40" spans="1:1" x14ac:dyDescent="0.25">
      <c r="A40" s="70">
        <v>16</v>
      </c>
    </row>
    <row r="41" spans="1:1" x14ac:dyDescent="0.25">
      <c r="A41" s="70">
        <v>17</v>
      </c>
    </row>
    <row r="42" spans="1:1" x14ac:dyDescent="0.25">
      <c r="A42" s="70">
        <v>18</v>
      </c>
    </row>
    <row r="43" spans="1:1" x14ac:dyDescent="0.25">
      <c r="A43" s="70">
        <v>19</v>
      </c>
    </row>
    <row r="44" spans="1:1" x14ac:dyDescent="0.25">
      <c r="A44" s="70">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33</vt:i4>
      </vt:variant>
    </vt:vector>
  </HeadingPairs>
  <TitlesOfParts>
    <vt:vector size="42" baseType="lpstr">
      <vt:lpstr>Instructions and References</vt:lpstr>
      <vt:lpstr>Production and Schedule</vt:lpstr>
      <vt:lpstr>Dryer and Cold Mix</vt:lpstr>
      <vt:lpstr>Lime Silo(s)</vt:lpstr>
      <vt:lpstr>Material Handling</vt:lpstr>
      <vt:lpstr>Stockpiles</vt:lpstr>
      <vt:lpstr>Loadout and Heater</vt:lpstr>
      <vt:lpstr>Summary Table</vt:lpstr>
      <vt:lpstr>Drop Down lists</vt:lpstr>
      <vt:lpstr>'Dryer and Cold Mix'!Print_Area</vt:lpstr>
      <vt:lpstr>'Instructions and References'!Print_Area</vt:lpstr>
      <vt:lpstr>'Lime Silo(s)'!Print_Area</vt:lpstr>
      <vt:lpstr>'Loadout and Heater'!Print_Area</vt:lpstr>
      <vt:lpstr>'Material Handling'!Print_Area</vt:lpstr>
      <vt:lpstr>Stockpiles!Print_Area</vt:lpstr>
      <vt:lpstr>'Summary Table'!Print_Area</vt:lpstr>
      <vt:lpstr>'Dryer and Cold Mix'!Table3.A12.I14.3</vt:lpstr>
      <vt:lpstr>'Dryer and Cold Mix'!Table3.A19.G29.3</vt:lpstr>
      <vt:lpstr>'Dryer and Cold Mix'!Table3.A8.I9.3</vt:lpstr>
      <vt:lpstr>'Summary Table'!TitleRegion1.A3.E12.8</vt:lpstr>
      <vt:lpstr>Stockpiles!TitleRegion1.A3.E15.6</vt:lpstr>
      <vt:lpstr>'Lime Silo(s)'!TitleRegion1.A4.B15.4</vt:lpstr>
      <vt:lpstr>'Dryer and Cold Mix'!TitleRegion1.A4.C5.3</vt:lpstr>
      <vt:lpstr>'Loadout and Heater'!TitleRegion1.A4.D8.7</vt:lpstr>
      <vt:lpstr>'Material Handling'!TitleRegion1.A4.K14.5</vt:lpstr>
      <vt:lpstr>'Production and Schedule'!TitleRegion1.a6.d7.2</vt:lpstr>
      <vt:lpstr>'Production and Schedule'!TitleRegion2.A10.C17.2</vt:lpstr>
      <vt:lpstr>'Loadout and Heater'!TitleRegion2.A11.H16.7</vt:lpstr>
      <vt:lpstr>'Summary Table'!TitleRegion2.A14.E17.8</vt:lpstr>
      <vt:lpstr>'Material Handling'!TitleRegion2.A16.B22.5</vt:lpstr>
      <vt:lpstr>Stockpiles!TitleRegion2.A18.B20.6</vt:lpstr>
      <vt:lpstr>'Lime Silo(s)'!TitleRegion2.A18.B22.4</vt:lpstr>
      <vt:lpstr>'Dryer and Cold Mix'!TitleRegion2.A8.I14.3</vt:lpstr>
      <vt:lpstr>'Dryer and Cold Mix'!TitleRegion3.A12.I14.3</vt:lpstr>
      <vt:lpstr>'Summary Table'!TitleRegion3.A19.E22.8</vt:lpstr>
      <vt:lpstr>'Loadout and Heater'!TitleRegion3.A20.E24.7</vt:lpstr>
      <vt:lpstr>'Material Handling'!TitleRegion3.A25.G36.5</vt:lpstr>
      <vt:lpstr>'Dryer and Cold Mix'!TitleRegion4.A19.G29.3</vt:lpstr>
      <vt:lpstr>'Summary Table'!TitleRegion4.A24.E28.8</vt:lpstr>
      <vt:lpstr>'Loadout and Heater'!TitleRegion4.A29.F36.7</vt:lpstr>
      <vt:lpstr>'Summary Table'!TitleRegion5.A30.E33.8</vt:lpstr>
      <vt:lpstr>'Summary Table'!TitleRegion6.A35.E42.8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Stanford</dc:creator>
  <cp:lastModifiedBy>Lawannia Carpenter</cp:lastModifiedBy>
  <cp:lastPrinted>2018-12-21T19:48:15Z</cp:lastPrinted>
  <dcterms:created xsi:type="dcterms:W3CDTF">2018-11-13T16:35:06Z</dcterms:created>
  <dcterms:modified xsi:type="dcterms:W3CDTF">2019-03-11T13:48:14Z</dcterms:modified>
</cp:coreProperties>
</file>