
<file path=[Content_Types].xml><?xml version="1.0" encoding="utf-8"?>
<Types xmlns="http://schemas.openxmlformats.org/package/2006/content-types">
  <Default Extension="bin" ContentType="application/vnd.openxmlformats-officedocument.oleObject"/>
  <Default Extension="emf" ContentType="image/x-emf"/>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C:\Users\lboothby\Desktop\Assets-Downloads Project\TRRP Webpage Documents\"/>
    </mc:Choice>
  </mc:AlternateContent>
  <xr:revisionPtr revIDLastSave="0" documentId="8_{03A1F0B0-A044-4708-A0B1-721A7A4F1C56}" xr6:coauthVersionLast="47" xr6:coauthVersionMax="47" xr10:uidLastSave="{00000000-0000-0000-0000-000000000000}"/>
  <bookViews>
    <workbookView xWindow="-120" yWindow="-120" windowWidth="20730" windowHeight="11160" activeTab="1" xr2:uid="{00000000-000D-0000-FFFF-FFFF00000000}"/>
  </bookViews>
  <sheets>
    <sheet name="Instructions" sheetId="2" r:id="rId1"/>
    <sheet name="Calculation" sheetId="1" r:id="rId2"/>
    <sheet name="EQ 12" sheetId="4" r:id="rId3"/>
    <sheet name="Figure D2" sheetId="5" r:id="rId4"/>
  </sheets>
  <definedNames>
    <definedName name="_xlnm.Print_Area" localSheetId="1">Calculation!$A$2:$O$22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8" i="1" l="1"/>
  <c r="E17" i="1"/>
  <c r="D17" i="1"/>
  <c r="L17" i="1"/>
  <c r="K17" i="1"/>
  <c r="J17" i="1"/>
  <c r="I17" i="1"/>
  <c r="H17" i="1"/>
  <c r="G17" i="1"/>
  <c r="C18" i="1" l="1"/>
  <c r="E18" i="1"/>
  <c r="F18" i="1"/>
  <c r="G18" i="1"/>
  <c r="F17" i="1"/>
  <c r="C17" i="1"/>
  <c r="H18" i="1"/>
  <c r="I18" i="1"/>
  <c r="J18" i="1"/>
  <c r="K18" i="1"/>
  <c r="L18" i="1"/>
  <c r="B2" i="1"/>
  <c r="D20" i="1" l="1"/>
  <c r="D21" i="1"/>
  <c r="D22" i="1" l="1"/>
  <c r="L15" i="1"/>
  <c r="K15" i="1"/>
  <c r="J15" i="1"/>
  <c r="I15" i="1"/>
  <c r="H15" i="1"/>
  <c r="G15" i="1"/>
  <c r="F15" i="1"/>
  <c r="E15" i="1"/>
  <c r="L13" i="1"/>
  <c r="K13" i="1"/>
  <c r="J13" i="1"/>
  <c r="I13" i="1"/>
  <c r="H13" i="1"/>
  <c r="G13" i="1"/>
  <c r="F13" i="1"/>
  <c r="E13" i="1"/>
  <c r="F11" i="1"/>
  <c r="E11" i="1"/>
  <c r="G11" i="1"/>
  <c r="H11" i="1"/>
  <c r="I11" i="1"/>
  <c r="J11" i="1"/>
  <c r="K11" i="1"/>
  <c r="L11" i="1"/>
  <c r="E9" i="1"/>
  <c r="F9" i="1"/>
  <c r="G9" i="1"/>
  <c r="H9" i="1"/>
  <c r="I9" i="1"/>
  <c r="J9" i="1"/>
  <c r="K9" i="1"/>
  <c r="L9" i="1"/>
  <c r="E7" i="1"/>
  <c r="F7" i="1"/>
  <c r="G7" i="1"/>
  <c r="H7" i="1"/>
  <c r="I7" i="1"/>
  <c r="J7" i="1"/>
  <c r="K7" i="1"/>
  <c r="L7" i="1"/>
  <c r="E5" i="1"/>
  <c r="F5" i="1"/>
  <c r="G5" i="1"/>
  <c r="H5" i="1"/>
  <c r="I5" i="1"/>
  <c r="J5" i="1"/>
  <c r="K5" i="1"/>
  <c r="L5" i="1"/>
  <c r="L3" i="1"/>
  <c r="K3" i="1"/>
  <c r="J3" i="1"/>
  <c r="I3" i="1"/>
  <c r="H3" i="1"/>
  <c r="G3" i="1"/>
  <c r="F3" i="1"/>
  <c r="E3" i="1"/>
</calcChain>
</file>

<file path=xl/sharedStrings.xml><?xml version="1.0" encoding="utf-8"?>
<sst xmlns="http://schemas.openxmlformats.org/spreadsheetml/2006/main" count="121" uniqueCount="57">
  <si>
    <t>MW-1</t>
  </si>
  <si>
    <t>Well 1</t>
  </si>
  <si>
    <t>Well 2</t>
  </si>
  <si>
    <t>d0</t>
  </si>
  <si>
    <t>d1</t>
  </si>
  <si>
    <t>d2</t>
  </si>
  <si>
    <t>C1</t>
  </si>
  <si>
    <t>C2</t>
  </si>
  <si>
    <t xml:space="preserve">Enter groundwater COC concentration from each well in plume (mg/L):  </t>
  </si>
  <si>
    <t>K1</t>
  </si>
  <si>
    <t>K2</t>
  </si>
  <si>
    <t xml:space="preserve">Hydraulic conductivity (cm/s): </t>
  </si>
  <si>
    <t>dh/dl1</t>
  </si>
  <si>
    <t>dh/dl2</t>
  </si>
  <si>
    <t xml:space="preserve">Hydraulic gradient (-): </t>
  </si>
  <si>
    <t xml:space="preserve">Effective porosity (-): </t>
  </si>
  <si>
    <t>ηe1</t>
  </si>
  <si>
    <t>ηe2</t>
  </si>
  <si>
    <t>b1</t>
  </si>
  <si>
    <t>b2</t>
  </si>
  <si>
    <t xml:space="preserve">Aquifer saturated thickness discharging to surface water (ft): </t>
  </si>
  <si>
    <t xml:space="preserve">6. Enter values IN UNITS DENOTED </t>
  </si>
  <si>
    <t>7. Representative groundwater concentration displayed in blue box at bottom</t>
  </si>
  <si>
    <t>MW-2</t>
  </si>
  <si>
    <t>MW-3</t>
  </si>
  <si>
    <t>8. DELETE DATA IN COLUMNS WITH NO WELL DESIGNATION</t>
  </si>
  <si>
    <t>MW-4</t>
  </si>
  <si>
    <t>MW-5</t>
  </si>
  <si>
    <t>Enter interwell and plume-edge distances per Figure D-2 (ft):</t>
  </si>
  <si>
    <t>5. Enter remaining COC and aquifer parameter data from each respective monitoring well</t>
  </si>
  <si>
    <t>(table below contains example D.1 information - replace with site well information)</t>
  </si>
  <si>
    <t xml:space="preserve">3. BEGIN by entering monitoring well designations starting with "Well 1," and consistent with the order presented in Figure D.2 (Appendix D, TRRP-15eco) and reproduced here - Up to 10 groundwater/surface water interface monitoring wells may be entered </t>
  </si>
  <si>
    <t>4. Enter distances as shown in Figure D.2 (Appendix D, TRRP-15eco)</t>
  </si>
  <si>
    <t>Instructions</t>
  </si>
  <si>
    <t>This is the more complex formula for the area-weighted representative groundwater COC concentration where the hydraulic conductivity, hydraulic gradient, and thickness of the saturated zone and effective porosity are not constant along the interface. The numerator is the product of COC concentration, hydraulic conductivity, hydraulic gradient, effective porosity and aquifer thickness at the first well multiplied by the quantity of distance from non-detect isoconcentration line to first well plus half the first intrawell distance plus the product of COC concentration, hydraulic conductivity, hydraulic gradient, effective porosity, aquifer thickness and intrawell distances associated with each interior monitoring well of network plus the product of COC concentration, hydraulic conductivity, hydraulic gradient, effective porosity and aquifer thickness multiplied by the quantity of half the last intrawell distance plus distance from last well to other non-detect isoconcentration line. The denominator is the product of hydraulic conductivity, hydraulic gradient, effective porosity and aquifer thickness at the first well multiplied by the quantity of distance from non-detect isoconcentration line to first well plus half the first intrawell distance plus the product of hydraulic conductivity, hydraulic gradient, effective porosity, aquifer thickness and intrawell distances associated with each interior monitoring well of network plus the product of hydraulic conductivity, hydraulic gradient, effective porosity and aquifer thickness multiplied by the quantity of half the last intrawell distance plus distance from last well to other non-detect isoconcentration line.</t>
  </si>
  <si>
    <t>TRRP-15eco: Discharge-Weighted Representative Groundwater COC Concentration at Surface Water Interface (v. 1.2 Oct 2012)</t>
  </si>
  <si>
    <t>Reference diagram with three-dimensional, cut-away perspective depicting idealized subsurface cross-section of affected groundwater plume and aquifer along a groundwater-surface water monitoring array that defines the locations of variables used to calculate the representative groundwater concentration. Variables include the distances between groundwater monitoring wells inside the affected groundwater plume, di; distance from the non-detect isoconcentration contour to the first monitoring well inside the plume, d0; and the distance from the other non-detect isoconcentration contour to the last monitoring well inside the affected plume, dn. Other variables define the aquifer thickness, b; and the individual area cells associated with each monitoring well in the affected groundwater plume, Ai.</t>
  </si>
  <si>
    <t>1. Calculator solves general condition described in the worksheet titled "EQ 12"</t>
  </si>
  <si>
    <r>
      <t>Enter designation of monitoring wells in plume (from d</t>
    </r>
    <r>
      <rPr>
        <b/>
        <vertAlign val="subscript"/>
        <sz val="12"/>
        <color theme="1"/>
        <rFont val="Calibri"/>
        <family val="2"/>
        <scheme val="minor"/>
      </rPr>
      <t>0</t>
    </r>
    <r>
      <rPr>
        <b/>
        <sz val="12"/>
        <color theme="1"/>
        <rFont val="Calibri"/>
        <family val="2"/>
        <scheme val="minor"/>
      </rPr>
      <t xml:space="preserve">; see worksheet Figure D2): </t>
    </r>
  </si>
  <si>
    <t>Monitoring Wells (Do not type in this row)</t>
  </si>
  <si>
    <t>Interwell Distances (Do not type in this row)</t>
  </si>
  <si>
    <t>Groundwater Concentrations (Do not type in this row)</t>
  </si>
  <si>
    <t>Aquifer Parameters (Do not type in this row)</t>
  </si>
  <si>
    <t>(Do not type in this row)</t>
  </si>
  <si>
    <t>Do not type Below this line</t>
  </si>
  <si>
    <t xml:space="preserve">2. Enter data only in the available (unprotected) cells </t>
  </si>
  <si>
    <t>No Data</t>
  </si>
  <si>
    <t>End of Worksheet</t>
  </si>
  <si>
    <t xml:space="preserve"> (Do not type in this row) Number of monitoring wells inside GW plume:   n =</t>
  </si>
  <si>
    <t>End of worksheet</t>
  </si>
  <si>
    <t>(Do not type in this row) COC mass flux</t>
  </si>
  <si>
    <t>(Do not type in this row) Groundwater Discharge</t>
  </si>
  <si>
    <t>Discharge weighted representative groundwater concentration.</t>
  </si>
  <si>
    <t>Numerator</t>
  </si>
  <si>
    <t>Denominator</t>
  </si>
  <si>
    <t xml:space="preserve">Equation Description: Total COC mass flux (as a summation) divided by total groundwater discharge (as a summation). Number in cells D20 represents the Numerator and Number in D21 represents the denominator. </t>
  </si>
  <si>
    <t>Denominator of Total COC mass flux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</si>
</sst>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quot; ft&quot;"/>
    <numFmt numFmtId="165" formatCode="0.00&quot; mg/L&quot;"/>
    <numFmt numFmtId="166" formatCode="0.00E+00&quot; cm/s&quot;"/>
    <numFmt numFmtId="167" formatCode="0.00E+00&quot; mg/s&quot;"/>
    <numFmt numFmtId="168" formatCode="0.00E+00&quot; cfs&quot;"/>
    <numFmt numFmtId="169" formatCode="0.00E+00&quot; mg/L&quot;"/>
    <numFmt numFmtId="170" formatCode="0.00&quot; ft&quot;"/>
    <numFmt numFmtId="171" formatCode="0.0000"/>
  </numFmts>
  <fonts count="16" x14ac:knownFonts="1">
    <font>
      <sz val="11"/>
      <color theme="1"/>
      <name val="Calibri"/>
      <family val="2"/>
      <scheme val="minor"/>
    </font>
    <font>
      <b/>
      <sz val="11"/>
      <color theme="1"/>
      <name val="Calibri"/>
      <family val="2"/>
      <scheme val="minor"/>
    </font>
    <font>
      <sz val="14"/>
      <color theme="1"/>
      <name val="Calibri"/>
      <family val="2"/>
      <scheme val="minor"/>
    </font>
    <font>
      <b/>
      <sz val="11"/>
      <color theme="4" tint="-0.249977111117893"/>
      <name val="Calibri"/>
      <family val="2"/>
      <scheme val="minor"/>
    </font>
    <font>
      <b/>
      <sz val="14"/>
      <color theme="1"/>
      <name val="Calibri"/>
      <family val="2"/>
      <scheme val="minor"/>
    </font>
    <font>
      <u/>
      <sz val="9.9"/>
      <color theme="10"/>
      <name val="Calibri"/>
      <family val="2"/>
    </font>
    <font>
      <b/>
      <sz val="18"/>
      <color theme="1"/>
      <name val="Calibri"/>
      <family val="2"/>
      <scheme val="minor"/>
    </font>
    <font>
      <sz val="12"/>
      <color theme="1"/>
      <name val="Calibri"/>
      <family val="2"/>
      <scheme val="minor"/>
    </font>
    <font>
      <u/>
      <sz val="12"/>
      <color theme="10"/>
      <name val="Calibri"/>
      <family val="2"/>
    </font>
    <font>
      <b/>
      <sz val="12"/>
      <color theme="1"/>
      <name val="Calibri"/>
      <family val="2"/>
      <scheme val="minor"/>
    </font>
    <font>
      <b/>
      <vertAlign val="subscript"/>
      <sz val="12"/>
      <color theme="1"/>
      <name val="Calibri"/>
      <family val="2"/>
      <scheme val="minor"/>
    </font>
    <font>
      <b/>
      <sz val="11"/>
      <name val="Calibri"/>
      <family val="2"/>
      <scheme val="minor"/>
    </font>
    <font>
      <b/>
      <sz val="12"/>
      <name val="Calibri"/>
      <family val="2"/>
      <scheme val="minor"/>
    </font>
    <font>
      <b/>
      <i/>
      <sz val="12"/>
      <color theme="9" tint="-0.499984740745262"/>
      <name val="Calibri"/>
      <family val="2"/>
      <scheme val="minor"/>
    </font>
    <font>
      <b/>
      <sz val="5"/>
      <color theme="0"/>
      <name val="Calibri"/>
      <family val="2"/>
      <scheme val="minor"/>
    </font>
    <font>
      <b/>
      <sz val="1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s>
  <borders count="8">
    <border>
      <left/>
      <right/>
      <top/>
      <bottom/>
      <diagonal/>
    </border>
    <border>
      <left/>
      <right/>
      <top/>
      <bottom style="thin">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5" fillId="0" borderId="0" applyNumberFormat="0" applyFill="0" applyBorder="0" applyAlignment="0" applyProtection="0">
      <alignment vertical="top"/>
      <protection locked="0"/>
    </xf>
  </cellStyleXfs>
  <cellXfs count="57">
    <xf numFmtId="0" fontId="0" fillId="0" borderId="0" xfId="0"/>
    <xf numFmtId="49" fontId="1" fillId="0" borderId="3" xfId="0" applyNumberFormat="1" applyFont="1" applyFill="1" applyBorder="1" applyAlignment="1" applyProtection="1">
      <alignment horizontal="center"/>
      <protection locked="0"/>
    </xf>
    <xf numFmtId="164" fontId="0" fillId="0" borderId="3" xfId="0" applyNumberFormat="1" applyFill="1" applyBorder="1" applyAlignment="1" applyProtection="1">
      <alignment horizontal="center" vertical="center"/>
      <protection locked="0"/>
    </xf>
    <xf numFmtId="165" fontId="0" fillId="0" borderId="3" xfId="0" applyNumberFormat="1" applyFill="1" applyBorder="1" applyAlignment="1" applyProtection="1">
      <alignment horizontal="center" vertical="center"/>
      <protection locked="0"/>
    </xf>
    <xf numFmtId="166" fontId="0" fillId="0" borderId="3" xfId="0" applyNumberFormat="1" applyFill="1" applyBorder="1" applyAlignment="1" applyProtection="1">
      <alignment horizontal="center" vertical="center"/>
      <protection locked="0"/>
    </xf>
    <xf numFmtId="171" fontId="0" fillId="0" borderId="3" xfId="0" applyNumberFormat="1" applyFill="1" applyBorder="1" applyAlignment="1" applyProtection="1">
      <alignment horizontal="center" vertical="center"/>
      <protection locked="0"/>
    </xf>
    <xf numFmtId="2" fontId="0" fillId="0" borderId="3" xfId="0" applyNumberFormat="1" applyFill="1" applyBorder="1" applyAlignment="1" applyProtection="1">
      <alignment horizontal="center" vertical="center"/>
      <protection locked="0"/>
    </xf>
    <xf numFmtId="0" fontId="6" fillId="0" borderId="0" xfId="0" applyFont="1" applyAlignment="1"/>
    <xf numFmtId="0" fontId="7" fillId="0" borderId="0" xfId="0" applyFont="1" applyAlignment="1"/>
    <xf numFmtId="0" fontId="7" fillId="0" borderId="0" xfId="0" applyFont="1" applyAlignment="1">
      <alignment horizontal="left" vertical="center"/>
    </xf>
    <xf numFmtId="0" fontId="7" fillId="0" borderId="0" xfId="0" applyFont="1" applyAlignment="1">
      <alignment vertical="center"/>
    </xf>
    <xf numFmtId="0" fontId="8" fillId="0" borderId="0" xfId="1" applyFont="1" applyAlignment="1" applyProtection="1">
      <alignment vertical="center"/>
    </xf>
    <xf numFmtId="0" fontId="8" fillId="0" borderId="0" xfId="1" applyFont="1" applyAlignment="1" applyProtection="1">
      <alignment horizontal="left" vertical="center"/>
    </xf>
    <xf numFmtId="0" fontId="7" fillId="0" borderId="0" xfId="0" applyFont="1" applyAlignment="1">
      <alignment horizontal="left" vertical="center" wrapText="1"/>
    </xf>
    <xf numFmtId="0" fontId="0" fillId="0" borderId="0" xfId="0" applyFill="1"/>
    <xf numFmtId="0" fontId="0" fillId="0" borderId="0" xfId="0" applyFill="1" applyAlignment="1">
      <alignment horizontal="left" vertical="center"/>
    </xf>
    <xf numFmtId="0" fontId="0" fillId="0" borderId="0" xfId="0" applyFill="1" applyAlignment="1">
      <alignment vertical="center"/>
    </xf>
    <xf numFmtId="0" fontId="0" fillId="0" borderId="0" xfId="0" applyFill="1" applyBorder="1"/>
    <xf numFmtId="0" fontId="1" fillId="0" borderId="0" xfId="0" applyFont="1" applyFill="1" applyBorder="1" applyAlignment="1">
      <alignment horizontal="center"/>
    </xf>
    <xf numFmtId="0" fontId="1" fillId="0" borderId="0" xfId="0" applyFont="1" applyFill="1" applyAlignment="1">
      <alignment horizontal="center"/>
    </xf>
    <xf numFmtId="49" fontId="0" fillId="0" borderId="0" xfId="0" applyNumberFormat="1" applyFill="1"/>
    <xf numFmtId="0" fontId="0" fillId="0" borderId="0" xfId="0" applyFill="1" applyAlignment="1">
      <alignment horizontal="center" vertical="center"/>
    </xf>
    <xf numFmtId="0" fontId="0" fillId="0" borderId="0" xfId="0" applyFill="1" applyBorder="1" applyAlignment="1">
      <alignment horizontal="center" vertical="center"/>
    </xf>
    <xf numFmtId="0" fontId="0" fillId="0" borderId="0" xfId="0" applyFill="1" applyBorder="1" applyAlignment="1">
      <alignment vertical="center"/>
    </xf>
    <xf numFmtId="0" fontId="2" fillId="0" borderId="0" xfId="0" applyFont="1" applyFill="1" applyBorder="1" applyAlignment="1">
      <alignment horizontal="center" vertical="center"/>
    </xf>
    <xf numFmtId="0" fontId="2" fillId="0" borderId="0" xfId="0" applyFont="1" applyFill="1" applyAlignment="1">
      <alignment horizontal="center" vertical="center"/>
    </xf>
    <xf numFmtId="0" fontId="0" fillId="0" borderId="0" xfId="0" applyFill="1" applyAlignment="1">
      <alignment horizontal="left"/>
    </xf>
    <xf numFmtId="0" fontId="9" fillId="0" borderId="2" xfId="0" applyFont="1" applyFill="1" applyBorder="1" applyAlignment="1">
      <alignment horizontal="right" vertical="center" wrapText="1"/>
    </xf>
    <xf numFmtId="0" fontId="0" fillId="0" borderId="0" xfId="0" applyAlignment="1">
      <alignment wrapText="1"/>
    </xf>
    <xf numFmtId="0" fontId="7" fillId="0" borderId="2" xfId="0" applyFont="1" applyFill="1" applyBorder="1" applyAlignment="1">
      <alignment horizontal="right" wrapText="1"/>
    </xf>
    <xf numFmtId="0" fontId="9" fillId="0" borderId="2" xfId="0" applyFont="1" applyFill="1" applyBorder="1" applyAlignment="1">
      <alignment horizontal="right" wrapText="1"/>
    </xf>
    <xf numFmtId="0" fontId="0" fillId="0" borderId="2" xfId="0" applyFill="1" applyBorder="1" applyAlignment="1">
      <alignment horizontal="right" wrapText="1"/>
    </xf>
    <xf numFmtId="49" fontId="9" fillId="0" borderId="2" xfId="0" applyNumberFormat="1" applyFont="1" applyFill="1" applyBorder="1" applyAlignment="1">
      <alignment horizontal="right" vertical="center" wrapText="1"/>
    </xf>
    <xf numFmtId="0" fontId="1" fillId="2" borderId="3" xfId="0" applyFont="1" applyFill="1" applyBorder="1" applyAlignment="1">
      <alignment horizontal="center"/>
    </xf>
    <xf numFmtId="49" fontId="1" fillId="0" borderId="4" xfId="0" applyNumberFormat="1" applyFont="1" applyFill="1" applyBorder="1" applyAlignment="1" applyProtection="1">
      <alignment horizontal="center"/>
      <protection locked="0"/>
    </xf>
    <xf numFmtId="0" fontId="1" fillId="2" borderId="3" xfId="0" applyFont="1" applyFill="1" applyBorder="1" applyAlignment="1">
      <alignment horizontal="center" vertical="center"/>
    </xf>
    <xf numFmtId="170" fontId="0" fillId="0" borderId="5" xfId="0" applyNumberFormat="1" applyFill="1" applyBorder="1" applyAlignment="1" applyProtection="1">
      <alignment horizontal="center" vertical="center"/>
      <protection locked="0"/>
    </xf>
    <xf numFmtId="168" fontId="11" fillId="2" borderId="3" xfId="0" applyNumberFormat="1" applyFont="1" applyFill="1" applyBorder="1" applyAlignment="1">
      <alignment horizontal="center" vertical="center"/>
    </xf>
    <xf numFmtId="167" fontId="11" fillId="2" borderId="6" xfId="0" applyNumberFormat="1" applyFont="1" applyFill="1" applyBorder="1" applyAlignment="1">
      <alignment horizontal="center" vertical="center"/>
    </xf>
    <xf numFmtId="167" fontId="11" fillId="2" borderId="1" xfId="0" applyNumberFormat="1" applyFont="1" applyFill="1" applyBorder="1" applyAlignment="1">
      <alignment horizontal="center" vertical="center"/>
    </xf>
    <xf numFmtId="168" fontId="11" fillId="2" borderId="0" xfId="0" applyNumberFormat="1" applyFont="1" applyFill="1" applyBorder="1" applyAlignment="1">
      <alignment horizontal="center" vertical="center"/>
    </xf>
    <xf numFmtId="0" fontId="13" fillId="0" borderId="2" xfId="0" applyFont="1" applyFill="1" applyBorder="1" applyAlignment="1">
      <alignment horizontal="right" wrapText="1"/>
    </xf>
    <xf numFmtId="49" fontId="1" fillId="0" borderId="0" xfId="0" applyNumberFormat="1" applyFont="1" applyFill="1" applyBorder="1" applyAlignment="1">
      <alignment horizontal="center"/>
    </xf>
    <xf numFmtId="164" fontId="0" fillId="0" borderId="0" xfId="0" applyNumberFormat="1" applyFill="1" applyBorder="1" applyAlignment="1">
      <alignment horizontal="center" vertical="center"/>
    </xf>
    <xf numFmtId="49" fontId="0" fillId="0" borderId="0" xfId="0" applyNumberFormat="1" applyFill="1" applyBorder="1"/>
    <xf numFmtId="0" fontId="0" fillId="0" borderId="2" xfId="0" applyFill="1" applyBorder="1" applyAlignment="1">
      <alignment horizontal="left" wrapText="1"/>
    </xf>
    <xf numFmtId="0" fontId="9" fillId="0" borderId="0" xfId="0" applyFont="1" applyFill="1" applyBorder="1" applyAlignment="1">
      <alignment horizontal="right" vertical="center" wrapText="1"/>
    </xf>
    <xf numFmtId="49" fontId="4" fillId="0" borderId="0" xfId="0" applyNumberFormat="1" applyFont="1" applyFill="1" applyBorder="1" applyAlignment="1">
      <alignment horizontal="left" vertical="center"/>
    </xf>
    <xf numFmtId="0" fontId="6" fillId="0" borderId="0" xfId="0" applyFont="1" applyFill="1" applyBorder="1" applyAlignment="1">
      <alignment horizontal="left" vertical="top"/>
    </xf>
    <xf numFmtId="168" fontId="3" fillId="2" borderId="3" xfId="0" applyNumberFormat="1" applyFont="1" applyFill="1" applyBorder="1" applyAlignment="1">
      <alignment horizontal="center" vertical="center"/>
    </xf>
    <xf numFmtId="167" fontId="3" fillId="2" borderId="6" xfId="0" applyNumberFormat="1" applyFont="1" applyFill="1" applyBorder="1" applyAlignment="1">
      <alignment horizontal="center" vertical="center"/>
    </xf>
    <xf numFmtId="0" fontId="7" fillId="0" borderId="2" xfId="0" applyFont="1" applyFill="1" applyBorder="1" applyAlignment="1">
      <alignment horizontal="left" wrapText="1"/>
    </xf>
    <xf numFmtId="0" fontId="1" fillId="0" borderId="2" xfId="0" applyFont="1" applyFill="1" applyBorder="1" applyAlignment="1">
      <alignment horizontal="left" wrapText="1"/>
    </xf>
    <xf numFmtId="0" fontId="14" fillId="0" borderId="0" xfId="0" applyFont="1" applyFill="1" applyBorder="1" applyAlignment="1">
      <alignment horizontal="center"/>
    </xf>
    <xf numFmtId="2" fontId="0" fillId="0" borderId="0" xfId="0" applyNumberFormat="1" applyFill="1" applyAlignment="1">
      <alignment vertical="center" wrapText="1"/>
    </xf>
    <xf numFmtId="169" fontId="12" fillId="3" borderId="7" xfId="0" applyNumberFormat="1" applyFont="1" applyFill="1" applyBorder="1" applyAlignment="1">
      <alignment horizontal="center" vertical="center"/>
    </xf>
    <xf numFmtId="0" fontId="15" fillId="0" borderId="0" xfId="0" applyFont="1" applyFill="1" applyBorder="1" applyAlignment="1">
      <alignment horizontal="center"/>
    </xf>
  </cellXfs>
  <cellStyles count="2">
    <cellStyle name="Hyperlink" xfId="1" builtinId="8"/>
    <cellStyle name="Normal" xfId="0" builtinId="0"/>
  </cellStyles>
  <dxfs count="0"/>
  <tableStyles count="0" defaultTableStyle="TableStyleMedium9" defaultPivotStyle="PivotStyleLight16"/>
  <colors>
    <mruColors>
      <color rgb="FFB2B2B2"/>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6.jpg"/></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3990975</xdr:colOff>
          <xdr:row>16</xdr:row>
          <xdr:rowOff>0</xdr:rowOff>
        </xdr:from>
        <xdr:to>
          <xdr:col>0</xdr:col>
          <xdr:colOff>4600575</xdr:colOff>
          <xdr:row>17</xdr:row>
          <xdr:rowOff>47625</xdr:rowOff>
        </xdr:to>
        <xdr:sp macro="" textlink="">
          <xdr:nvSpPr>
            <xdr:cNvPr id="1027" name="Object 3" descr="Equation for COC mass flux"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4076700</xdr:colOff>
          <xdr:row>17</xdr:row>
          <xdr:rowOff>0</xdr:rowOff>
        </xdr:from>
        <xdr:to>
          <xdr:col>0</xdr:col>
          <xdr:colOff>4610100</xdr:colOff>
          <xdr:row>18</xdr:row>
          <xdr:rowOff>76200</xdr:rowOff>
        </xdr:to>
        <xdr:sp macro="" textlink="">
          <xdr:nvSpPr>
            <xdr:cNvPr id="1028" name="Object 4" descr="Equation for groundwater discharge"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19</xdr:row>
          <xdr:rowOff>190500</xdr:rowOff>
        </xdr:from>
        <xdr:to>
          <xdr:col>2</xdr:col>
          <xdr:colOff>1047750</xdr:colOff>
          <xdr:row>19</xdr:row>
          <xdr:rowOff>866775</xdr:rowOff>
        </xdr:to>
        <xdr:sp macro="" textlink="">
          <xdr:nvSpPr>
            <xdr:cNvPr id="1029" name="Object 5" descr="Equation for total COC mass flux (as a summation) divided by total groundwater discharge (as a summation)."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21</xdr:row>
          <xdr:rowOff>190500</xdr:rowOff>
        </xdr:from>
        <xdr:to>
          <xdr:col>2</xdr:col>
          <xdr:colOff>819150</xdr:colOff>
          <xdr:row>21</xdr:row>
          <xdr:rowOff>685800</xdr:rowOff>
        </xdr:to>
        <xdr:sp macro="" textlink="">
          <xdr:nvSpPr>
            <xdr:cNvPr id="1030" name="Object 6" descr="Equation for discharge weighted representative groundwater concentration."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1</xdr:row>
          <xdr:rowOff>38100</xdr:rowOff>
        </xdr:from>
        <xdr:to>
          <xdr:col>0</xdr:col>
          <xdr:colOff>6800850</xdr:colOff>
          <xdr:row>6</xdr:row>
          <xdr:rowOff>142875</xdr:rowOff>
        </xdr:to>
        <xdr:sp macro="" textlink="">
          <xdr:nvSpPr>
            <xdr:cNvPr id="4097" name="Object 1" descr="See worksheet &quot;Explanation of Equation Figure&quot; for information about the equation in this image."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solidFill>
              <a:srgbClr val="FFCC66"/>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133350</xdr:colOff>
      <xdr:row>1</xdr:row>
      <xdr:rowOff>66675</xdr:rowOff>
    </xdr:from>
    <xdr:to>
      <xdr:col>0</xdr:col>
      <xdr:colOff>7292455</xdr:colOff>
      <xdr:row>22</xdr:row>
      <xdr:rowOff>182007</xdr:rowOff>
    </xdr:to>
    <xdr:pic>
      <xdr:nvPicPr>
        <xdr:cNvPr id="2" name="Picture 1" descr="Reference diagram with three-dimensional, cut-away perspective depicting idealized subsurface cross-section of affected groundwater plume and aquifer along a groundwater-surface water monitoring array that defines the locations of variables used to calculate the representative groundwater concentration. Variables include the distances between groundwater monitoring wells inside the affected groundwater plume, di; distance from the non-detect isoconcentration contour to the first monitoring well inside the plume, d0; and the distance from the other non-detect isoconcentration contour to the last monitoring well inside the affected plume, dn. Other variables define the aquifer thickness, b; and the individual area cells associated with each monitoring well in the affected groundwater plume, Ai.">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350" y="1400175"/>
          <a:ext cx="7159105" cy="411583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image" Target="../media/image3.emf"/><Relationship Id="rId3" Type="http://schemas.openxmlformats.org/officeDocument/2006/relationships/oleObject" Target="../embeddings/oleObject1.bin"/><Relationship Id="rId7" Type="http://schemas.openxmlformats.org/officeDocument/2006/relationships/oleObject" Target="../embeddings/oleObject3.bin"/><Relationship Id="rId2" Type="http://schemas.openxmlformats.org/officeDocument/2006/relationships/vmlDrawing" Target="../drawings/vmlDrawing1.vml"/><Relationship Id="rId1" Type="http://schemas.openxmlformats.org/officeDocument/2006/relationships/drawing" Target="../drawings/drawing1.xml"/><Relationship Id="rId6" Type="http://schemas.openxmlformats.org/officeDocument/2006/relationships/image" Target="../media/image2.emf"/><Relationship Id="rId5" Type="http://schemas.openxmlformats.org/officeDocument/2006/relationships/oleObject" Target="../embeddings/oleObject2.bin"/><Relationship Id="rId10" Type="http://schemas.openxmlformats.org/officeDocument/2006/relationships/image" Target="../media/image4.emf"/><Relationship Id="rId4" Type="http://schemas.openxmlformats.org/officeDocument/2006/relationships/image" Target="../media/image1.emf"/><Relationship Id="rId9" Type="http://schemas.openxmlformats.org/officeDocument/2006/relationships/oleObject" Target="../embeddings/oleObject4.bin"/></Relationships>
</file>

<file path=xl/worksheets/_rels/sheet3.xml.rels><?xml version="1.0" encoding="UTF-8" standalone="yes"?>
<Relationships xmlns="http://schemas.openxmlformats.org/package/2006/relationships"><Relationship Id="rId3" Type="http://schemas.openxmlformats.org/officeDocument/2006/relationships/oleObject" Target="../embeddings/oleObject5.bin"/><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image" Target="../media/image5.emf"/></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H11"/>
  <sheetViews>
    <sheetView workbookViewId="0">
      <selection activeCell="A12" sqref="A12:XFD12"/>
    </sheetView>
  </sheetViews>
  <sheetFormatPr defaultColWidth="0" defaultRowHeight="15.75" zeroHeight="1" x14ac:dyDescent="0.25"/>
  <cols>
    <col min="1" max="1" width="84.5703125" style="8" customWidth="1"/>
    <col min="2" max="8" width="0" style="8" hidden="1" customWidth="1"/>
    <col min="9" max="16384" width="9.140625" style="8" hidden="1"/>
  </cols>
  <sheetData>
    <row r="1" spans="1:8" ht="23.25" x14ac:dyDescent="0.35">
      <c r="A1" s="7" t="s">
        <v>33</v>
      </c>
    </row>
    <row r="2" spans="1:8" x14ac:dyDescent="0.25">
      <c r="A2" s="9" t="s">
        <v>37</v>
      </c>
      <c r="B2" s="9"/>
      <c r="C2" s="9"/>
      <c r="D2" s="9"/>
      <c r="E2" s="9"/>
      <c r="F2" s="9"/>
    </row>
    <row r="3" spans="1:8" x14ac:dyDescent="0.25">
      <c r="A3" s="8" t="s">
        <v>45</v>
      </c>
    </row>
    <row r="4" spans="1:8" ht="49.5" customHeight="1" x14ac:dyDescent="0.25">
      <c r="A4" s="13" t="s">
        <v>31</v>
      </c>
      <c r="B4" s="9"/>
      <c r="C4" s="9"/>
      <c r="D4" s="9"/>
      <c r="E4" s="9"/>
      <c r="F4" s="9"/>
      <c r="G4" s="9"/>
      <c r="H4" s="9"/>
    </row>
    <row r="5" spans="1:8" x14ac:dyDescent="0.25">
      <c r="A5" s="9" t="s">
        <v>32</v>
      </c>
      <c r="B5" s="9"/>
      <c r="C5" s="9"/>
      <c r="D5" s="9"/>
      <c r="E5" s="9"/>
      <c r="F5" s="9"/>
      <c r="G5" s="9"/>
      <c r="H5" s="9"/>
    </row>
    <row r="6" spans="1:8" x14ac:dyDescent="0.25">
      <c r="A6" s="9" t="s">
        <v>29</v>
      </c>
      <c r="B6" s="9"/>
      <c r="C6" s="9"/>
      <c r="D6" s="9"/>
      <c r="E6" s="9"/>
      <c r="F6" s="9"/>
      <c r="G6" s="9"/>
      <c r="H6" s="9"/>
    </row>
    <row r="7" spans="1:8" x14ac:dyDescent="0.25">
      <c r="A7" s="9" t="s">
        <v>21</v>
      </c>
      <c r="B7" s="9"/>
      <c r="C7" s="9"/>
      <c r="D7" s="9"/>
      <c r="E7" s="9"/>
      <c r="F7" s="9"/>
      <c r="G7" s="9"/>
      <c r="H7" s="9"/>
    </row>
    <row r="8" spans="1:8" x14ac:dyDescent="0.25">
      <c r="A8" s="8" t="s">
        <v>22</v>
      </c>
    </row>
    <row r="9" spans="1:8" x14ac:dyDescent="0.25">
      <c r="A9" s="9" t="s">
        <v>25</v>
      </c>
      <c r="B9" s="9"/>
      <c r="C9" s="9"/>
      <c r="D9" s="9"/>
      <c r="E9" s="12"/>
      <c r="F9" s="12"/>
    </row>
    <row r="10" spans="1:8" x14ac:dyDescent="0.25">
      <c r="A10" s="10" t="s">
        <v>30</v>
      </c>
      <c r="B10" s="10"/>
      <c r="C10" s="10"/>
      <c r="D10" s="10"/>
      <c r="E10" s="11"/>
      <c r="F10" s="11"/>
    </row>
    <row r="11" spans="1:8" x14ac:dyDescent="0.25">
      <c r="A11" s="8" t="s">
        <v>49</v>
      </c>
    </row>
  </sheetData>
  <pageMargins left="0.7" right="0.7" top="0.75" bottom="0.75" header="0.3" footer="0.3"/>
  <pageSetup orientation="portrait" verticalDpi="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O64"/>
  <sheetViews>
    <sheetView showZeros="0" tabSelected="1" topLeftCell="A4" zoomScale="83" zoomScaleNormal="83" workbookViewId="0">
      <selection activeCell="C8" sqref="C8"/>
    </sheetView>
  </sheetViews>
  <sheetFormatPr defaultColWidth="0" defaultRowHeight="15" zeroHeight="1" x14ac:dyDescent="0.25"/>
  <cols>
    <col min="1" max="1" width="74.42578125" style="26" customWidth="1"/>
    <col min="2" max="2" width="6.7109375" style="14" bestFit="1" customWidth="1"/>
    <col min="3" max="3" width="31.7109375" style="14" customWidth="1"/>
    <col min="4" max="4" width="15.42578125" style="14" bestFit="1" customWidth="1"/>
    <col min="5" max="12" width="16.7109375" style="14" customWidth="1"/>
    <col min="13" max="14" width="16.7109375" style="14" hidden="1" customWidth="1"/>
    <col min="15" max="15" width="2.28515625" style="14" hidden="1" customWidth="1"/>
    <col min="16" max="16384" width="9.140625" style="14" hidden="1"/>
  </cols>
  <sheetData>
    <row r="1" spans="1:15" ht="37.5" customHeight="1" x14ac:dyDescent="0.25">
      <c r="A1" s="48" t="s">
        <v>35</v>
      </c>
      <c r="B1" s="17"/>
      <c r="C1" s="17"/>
      <c r="D1" s="17"/>
      <c r="E1" s="17"/>
      <c r="F1" s="17"/>
      <c r="K1" s="17"/>
      <c r="L1" s="17"/>
      <c r="M1" s="17"/>
      <c r="N1" s="17"/>
      <c r="O1" s="17"/>
    </row>
    <row r="2" spans="1:15" ht="40.5" customHeight="1" x14ac:dyDescent="0.25">
      <c r="A2" s="46" t="s">
        <v>48</v>
      </c>
      <c r="B2" s="47">
        <f>COUNTA(C4:L4,"*")-1</f>
        <v>5</v>
      </c>
      <c r="C2" s="53" t="s">
        <v>46</v>
      </c>
      <c r="D2" s="53" t="s">
        <v>46</v>
      </c>
      <c r="E2" s="53" t="s">
        <v>46</v>
      </c>
      <c r="F2" s="53" t="s">
        <v>46</v>
      </c>
      <c r="G2" s="53" t="s">
        <v>46</v>
      </c>
      <c r="H2" s="53" t="s">
        <v>46</v>
      </c>
      <c r="I2" s="53" t="s">
        <v>46</v>
      </c>
      <c r="J2" s="53" t="s">
        <v>46</v>
      </c>
      <c r="K2" s="53" t="s">
        <v>46</v>
      </c>
      <c r="L2" s="53" t="s">
        <v>46</v>
      </c>
      <c r="M2" s="17"/>
      <c r="O2" s="17"/>
    </row>
    <row r="3" spans="1:15" s="19" customFormat="1" ht="15.75" x14ac:dyDescent="0.25">
      <c r="A3" s="41" t="s">
        <v>39</v>
      </c>
      <c r="B3" s="53" t="s">
        <v>46</v>
      </c>
      <c r="C3" s="33" t="s">
        <v>1</v>
      </c>
      <c r="D3" s="33" t="s">
        <v>2</v>
      </c>
      <c r="E3" s="33" t="str">
        <f>IF(ISBLANK(E4),"","Well 3")</f>
        <v>Well 3</v>
      </c>
      <c r="F3" s="33" t="str">
        <f>IF(ISBLANK(F4),"","Well 4")</f>
        <v>Well 4</v>
      </c>
      <c r="G3" s="33" t="str">
        <f>IF(ISBLANK(G4),"","Well 5")</f>
        <v>Well 5</v>
      </c>
      <c r="H3" s="33" t="str">
        <f>IF(ISBLANK(H4),"","Well 6")</f>
        <v/>
      </c>
      <c r="I3" s="33" t="str">
        <f>IF(ISBLANK(I4),"","Well 7")</f>
        <v/>
      </c>
      <c r="J3" s="33" t="str">
        <f>IF(ISBLANK(J4),"","Well 8")</f>
        <v/>
      </c>
      <c r="K3" s="33" t="str">
        <f>IF(ISBLANK(K4),"","Well 9")</f>
        <v/>
      </c>
      <c r="L3" s="33" t="str">
        <f>IF(ISBLANK(L4),"","Well 10")</f>
        <v/>
      </c>
      <c r="M3" s="18"/>
      <c r="N3" s="17"/>
    </row>
    <row r="4" spans="1:15" s="20" customFormat="1" ht="54.75" customHeight="1" x14ac:dyDescent="0.25">
      <c r="A4" s="32" t="s">
        <v>38</v>
      </c>
      <c r="B4" s="53" t="s">
        <v>46</v>
      </c>
      <c r="C4" s="34" t="s">
        <v>0</v>
      </c>
      <c r="D4" s="34" t="s">
        <v>23</v>
      </c>
      <c r="E4" s="34" t="s">
        <v>24</v>
      </c>
      <c r="F4" s="34" t="s">
        <v>26</v>
      </c>
      <c r="G4" s="34" t="s">
        <v>27</v>
      </c>
      <c r="H4" s="1"/>
      <c r="I4" s="1"/>
      <c r="J4" s="1"/>
      <c r="K4" s="1"/>
      <c r="L4" s="1"/>
      <c r="M4" s="42"/>
      <c r="N4" s="18"/>
    </row>
    <row r="5" spans="1:15" s="21" customFormat="1" ht="15.75" x14ac:dyDescent="0.25">
      <c r="A5" s="41" t="s">
        <v>40</v>
      </c>
      <c r="B5" s="35" t="s">
        <v>3</v>
      </c>
      <c r="C5" s="35" t="s">
        <v>4</v>
      </c>
      <c r="D5" s="35" t="s">
        <v>5</v>
      </c>
      <c r="E5" s="35" t="str">
        <f>IF(ISBLANK(E4),"","d3")</f>
        <v>d3</v>
      </c>
      <c r="F5" s="35" t="str">
        <f>IF(ISBLANK(F4),"","d4")</f>
        <v>d4</v>
      </c>
      <c r="G5" s="35" t="str">
        <f>IF(ISBLANK(G4),"","d5")</f>
        <v>d5</v>
      </c>
      <c r="H5" s="35" t="str">
        <f>IF(ISBLANK(H4),"","d6")</f>
        <v/>
      </c>
      <c r="I5" s="35" t="str">
        <f>IF(ISBLANK(I4),"","d7")</f>
        <v/>
      </c>
      <c r="J5" s="35" t="str">
        <f>IF(ISBLANK(J4),"","d8")</f>
        <v/>
      </c>
      <c r="K5" s="35" t="str">
        <f>IF(ISBLANK(K4),"","d9")</f>
        <v/>
      </c>
      <c r="L5" s="35" t="str">
        <f>IF(ISBLANK(L4),"","d10")</f>
        <v/>
      </c>
      <c r="M5" s="22"/>
      <c r="N5" s="44"/>
    </row>
    <row r="6" spans="1:15" ht="30" customHeight="1" x14ac:dyDescent="0.25">
      <c r="A6" s="27" t="s">
        <v>28</v>
      </c>
      <c r="B6" s="2">
        <v>20</v>
      </c>
      <c r="C6" s="2">
        <v>70</v>
      </c>
      <c r="D6" s="2">
        <v>55</v>
      </c>
      <c r="E6" s="2">
        <v>40</v>
      </c>
      <c r="F6" s="2">
        <v>50</v>
      </c>
      <c r="G6" s="2">
        <v>15</v>
      </c>
      <c r="H6" s="2"/>
      <c r="I6" s="2"/>
      <c r="J6" s="2"/>
      <c r="K6" s="2"/>
      <c r="L6" s="2"/>
      <c r="M6" s="43"/>
      <c r="N6" s="22"/>
    </row>
    <row r="7" spans="1:15" s="21" customFormat="1" ht="15.75" x14ac:dyDescent="0.25">
      <c r="A7" s="41" t="s">
        <v>41</v>
      </c>
      <c r="B7" s="53" t="s">
        <v>46</v>
      </c>
      <c r="C7" s="35" t="s">
        <v>6</v>
      </c>
      <c r="D7" s="35" t="s">
        <v>7</v>
      </c>
      <c r="E7" s="35" t="str">
        <f>IF(ISBLANK(E4),"","C3")</f>
        <v>C3</v>
      </c>
      <c r="F7" s="35" t="str">
        <f>IF(ISBLANK(F4),"","C4")</f>
        <v>C4</v>
      </c>
      <c r="G7" s="35" t="str">
        <f>IF(ISBLANK(G4),"","C5")</f>
        <v>C5</v>
      </c>
      <c r="H7" s="35" t="str">
        <f>IF(ISBLANK(H4),"","C6")</f>
        <v/>
      </c>
      <c r="I7" s="35" t="str">
        <f>IF(ISBLANK(I4),"","C7")</f>
        <v/>
      </c>
      <c r="J7" s="35" t="str">
        <f>IF(ISBLANK(J4),"","C8")</f>
        <v/>
      </c>
      <c r="K7" s="35" t="str">
        <f>IF(ISBLANK(K4),"","C9")</f>
        <v/>
      </c>
      <c r="L7" s="35" t="str">
        <f>IF(ISBLANK(L4),"","C10")</f>
        <v/>
      </c>
      <c r="M7" s="22"/>
      <c r="N7" s="17"/>
    </row>
    <row r="8" spans="1:15" s="16" customFormat="1" ht="27.75" customHeight="1" x14ac:dyDescent="0.25">
      <c r="A8" s="30" t="s">
        <v>8</v>
      </c>
      <c r="B8" s="53" t="s">
        <v>46</v>
      </c>
      <c r="C8" s="3">
        <v>10</v>
      </c>
      <c r="D8" s="3">
        <v>15</v>
      </c>
      <c r="E8" s="3">
        <v>20</v>
      </c>
      <c r="F8" s="3">
        <v>11</v>
      </c>
      <c r="G8" s="3">
        <v>8</v>
      </c>
      <c r="H8" s="3"/>
      <c r="I8" s="3"/>
      <c r="J8" s="3"/>
      <c r="K8" s="3"/>
      <c r="L8" s="3"/>
      <c r="M8" s="23"/>
      <c r="N8" s="22"/>
    </row>
    <row r="9" spans="1:15" s="21" customFormat="1" ht="24" customHeight="1" x14ac:dyDescent="0.25">
      <c r="A9" s="41" t="s">
        <v>42</v>
      </c>
      <c r="B9" s="53" t="s">
        <v>46</v>
      </c>
      <c r="C9" s="35" t="s">
        <v>9</v>
      </c>
      <c r="D9" s="35" t="s">
        <v>10</v>
      </c>
      <c r="E9" s="35" t="str">
        <f>IF(ISBLANK(E4),"","K3")</f>
        <v>K3</v>
      </c>
      <c r="F9" s="35" t="str">
        <f>IF(ISBLANK(F4),"","K4")</f>
        <v>K4</v>
      </c>
      <c r="G9" s="35" t="str">
        <f>IF(ISBLANK(G4),"","K5")</f>
        <v>K5</v>
      </c>
      <c r="H9" s="35" t="str">
        <f>IF(ISBLANK(H4),"","K6")</f>
        <v/>
      </c>
      <c r="I9" s="35" t="str">
        <f>IF(ISBLANK(I4),"","K7")</f>
        <v/>
      </c>
      <c r="J9" s="35" t="str">
        <f>IF(ISBLANK(J4),"","K8")</f>
        <v/>
      </c>
      <c r="K9" s="35" t="str">
        <f>IF(ISBLANK(K4),"","K9")</f>
        <v/>
      </c>
      <c r="L9" s="35" t="str">
        <f>IF(ISBLANK(L4),"","K10")</f>
        <v/>
      </c>
      <c r="M9" s="22"/>
      <c r="N9" s="23"/>
    </row>
    <row r="10" spans="1:15" ht="28.5" customHeight="1" x14ac:dyDescent="0.25">
      <c r="A10" s="30" t="s">
        <v>11</v>
      </c>
      <c r="B10" s="53" t="s">
        <v>46</v>
      </c>
      <c r="C10" s="4">
        <v>2.5000000000000001E-4</v>
      </c>
      <c r="D10" s="4">
        <v>2.5000000000000001E-4</v>
      </c>
      <c r="E10" s="4">
        <v>2.5000000000000001E-4</v>
      </c>
      <c r="F10" s="4">
        <v>2.5000000000000001E-4</v>
      </c>
      <c r="G10" s="4">
        <v>2.5000000000000001E-4</v>
      </c>
      <c r="H10" s="4"/>
      <c r="I10" s="4"/>
      <c r="J10" s="4"/>
      <c r="K10" s="4"/>
      <c r="L10" s="4"/>
      <c r="M10" s="17"/>
      <c r="N10" s="22"/>
    </row>
    <row r="11" spans="1:15" s="16" customFormat="1" ht="15.75" x14ac:dyDescent="0.25">
      <c r="A11" s="29" t="s">
        <v>43</v>
      </c>
      <c r="B11" s="53" t="s">
        <v>46</v>
      </c>
      <c r="C11" s="35" t="s">
        <v>12</v>
      </c>
      <c r="D11" s="35" t="s">
        <v>13</v>
      </c>
      <c r="E11" s="35" t="str">
        <f>IF(ISBLANK(E4),"","dh/dl3")</f>
        <v>dh/dl3</v>
      </c>
      <c r="F11" s="35" t="str">
        <f>IF(ISBLANK(F4),"","dh/dl4")</f>
        <v>dh/dl4</v>
      </c>
      <c r="G11" s="35" t="str">
        <f>IF(ISBLANK(G4),"","dh/dl5")</f>
        <v>dh/dl5</v>
      </c>
      <c r="H11" s="35" t="str">
        <f>IF(ISBLANK(H4),"","dh/dl6")</f>
        <v/>
      </c>
      <c r="I11" s="35" t="str">
        <f>IF(ISBLANK(I4),"","dh/dl7")</f>
        <v/>
      </c>
      <c r="J11" s="35" t="str">
        <f>IF(ISBLANK(J4),"","dh/dl8")</f>
        <v/>
      </c>
      <c r="K11" s="35" t="str">
        <f>IF(ISBLANK(K4),"","dh/dl9")</f>
        <v/>
      </c>
      <c r="L11" s="35" t="str">
        <f>IF(ISBLANK(L4),"","dh/dl10")</f>
        <v/>
      </c>
      <c r="M11" s="23"/>
      <c r="N11" s="17"/>
    </row>
    <row r="12" spans="1:15" s="16" customFormat="1" ht="24.75" customHeight="1" x14ac:dyDescent="0.25">
      <c r="A12" s="30" t="s">
        <v>14</v>
      </c>
      <c r="B12" s="53" t="s">
        <v>46</v>
      </c>
      <c r="C12" s="5">
        <v>1E-3</v>
      </c>
      <c r="D12" s="5">
        <v>1E-3</v>
      </c>
      <c r="E12" s="5">
        <v>1E-3</v>
      </c>
      <c r="F12" s="5">
        <v>1E-3</v>
      </c>
      <c r="G12" s="5">
        <v>1E-3</v>
      </c>
      <c r="H12" s="5"/>
      <c r="I12" s="5"/>
      <c r="J12" s="5"/>
      <c r="K12" s="5"/>
      <c r="L12" s="5"/>
      <c r="M12" s="23"/>
      <c r="N12" s="23"/>
    </row>
    <row r="13" spans="1:15" s="25" customFormat="1" ht="15.75" customHeight="1" x14ac:dyDescent="0.25">
      <c r="A13" s="29" t="s">
        <v>43</v>
      </c>
      <c r="B13" s="53" t="s">
        <v>46</v>
      </c>
      <c r="C13" s="35" t="s">
        <v>16</v>
      </c>
      <c r="D13" s="35" t="s">
        <v>17</v>
      </c>
      <c r="E13" s="35" t="str">
        <f>IF(ISBLANK(E4),"","ηe3")</f>
        <v>ηe3</v>
      </c>
      <c r="F13" s="35" t="str">
        <f>IF(ISBLANK(F4),"","ηe4")</f>
        <v>ηe4</v>
      </c>
      <c r="G13" s="35" t="str">
        <f>IF(ISBLANK(G4),"","ηe5")</f>
        <v>ηe5</v>
      </c>
      <c r="H13" s="35" t="str">
        <f>IF(ISBLANK(H4),"","ηe6")</f>
        <v/>
      </c>
      <c r="I13" s="35" t="str">
        <f>IF(ISBLANK(I4),"","ηe7")</f>
        <v/>
      </c>
      <c r="J13" s="35" t="str">
        <f>IF(ISBLANK(J4),"","ηe8")</f>
        <v/>
      </c>
      <c r="K13" s="35" t="str">
        <f>IF(ISBLANK(K4),"","ηe9")</f>
        <v/>
      </c>
      <c r="L13" s="35" t="str">
        <f>IF(ISBLANK(L4),"","ηe10")</f>
        <v/>
      </c>
      <c r="M13" s="24"/>
      <c r="N13" s="23"/>
    </row>
    <row r="14" spans="1:15" s="16" customFormat="1" ht="21" customHeight="1" x14ac:dyDescent="0.25">
      <c r="A14" s="30" t="s">
        <v>15</v>
      </c>
      <c r="B14" s="53" t="s">
        <v>46</v>
      </c>
      <c r="C14" s="6">
        <v>0.33</v>
      </c>
      <c r="D14" s="6">
        <v>0.33</v>
      </c>
      <c r="E14" s="6">
        <v>0.33</v>
      </c>
      <c r="F14" s="6">
        <v>0.33</v>
      </c>
      <c r="G14" s="6">
        <v>0.33</v>
      </c>
      <c r="H14" s="6"/>
      <c r="I14" s="6"/>
      <c r="J14" s="6"/>
      <c r="K14" s="6"/>
      <c r="L14" s="6"/>
      <c r="M14" s="23"/>
      <c r="N14" s="24"/>
    </row>
    <row r="15" spans="1:15" s="16" customFormat="1" ht="15.75" x14ac:dyDescent="0.25">
      <c r="A15" s="29" t="s">
        <v>43</v>
      </c>
      <c r="B15" s="53" t="s">
        <v>46</v>
      </c>
      <c r="C15" s="35" t="s">
        <v>18</v>
      </c>
      <c r="D15" s="35" t="s">
        <v>19</v>
      </c>
      <c r="E15" s="35" t="str">
        <f>IF(ISBLANK(E4),"","b3")</f>
        <v>b3</v>
      </c>
      <c r="F15" s="35" t="str">
        <f>IF(ISBLANK(F4),"","b4")</f>
        <v>b4</v>
      </c>
      <c r="G15" s="35" t="str">
        <f>IF(ISBLANK(G4),"","b5")</f>
        <v>b5</v>
      </c>
      <c r="H15" s="35" t="str">
        <f>IF(ISBLANK(H4),"","b6")</f>
        <v/>
      </c>
      <c r="I15" s="35" t="str">
        <f>IF(ISBLANK(I4),"","b7")</f>
        <v/>
      </c>
      <c r="J15" s="35" t="str">
        <f>IF(ISBLANK(J4),"","b8")</f>
        <v/>
      </c>
      <c r="K15" s="35" t="str">
        <f>IF(ISBLANK(K4),"","b9")</f>
        <v/>
      </c>
      <c r="L15" s="35" t="str">
        <f>IF(ISBLANK(L4),"","b10")</f>
        <v/>
      </c>
      <c r="M15" s="23"/>
      <c r="N15" s="23"/>
    </row>
    <row r="16" spans="1:15" s="16" customFormat="1" ht="35.25" customHeight="1" thickBot="1" x14ac:dyDescent="0.2">
      <c r="A16" s="27" t="s">
        <v>20</v>
      </c>
      <c r="B16" s="53" t="s">
        <v>46</v>
      </c>
      <c r="C16" s="36">
        <v>5</v>
      </c>
      <c r="D16" s="36">
        <v>5</v>
      </c>
      <c r="E16" s="36">
        <v>5</v>
      </c>
      <c r="F16" s="36">
        <v>5</v>
      </c>
      <c r="G16" s="36">
        <v>5</v>
      </c>
      <c r="H16" s="36"/>
      <c r="I16" s="36"/>
      <c r="J16" s="36"/>
      <c r="K16" s="36"/>
      <c r="L16" s="36"/>
      <c r="M16" s="23"/>
      <c r="N16" s="23"/>
    </row>
    <row r="17" spans="1:14" s="16" customFormat="1" ht="19.5" customHeight="1" thickTop="1" x14ac:dyDescent="0.25">
      <c r="A17" s="51" t="s">
        <v>50</v>
      </c>
      <c r="B17" s="53" t="s">
        <v>46</v>
      </c>
      <c r="C17" s="38">
        <f>(B6+C6/2)*C8*C10*C12*C14*C16*0.9292</f>
        <v>2.1081225000000003E-4</v>
      </c>
      <c r="D17" s="38">
        <f>(C6+D6)/2*D8*D10*D12*D14*D16*0.9292</f>
        <v>3.5933906250000004E-4</v>
      </c>
      <c r="E17" s="38">
        <f t="shared" ref="E17:L17" si="0">IF(ISBLANK(F4),(D6/2+E6)*E8*E10*E12*E14*E16*0.9292,(D6+E6)/2*E8*E10*E12*E14*E16*0.9292)</f>
        <v>3.6413025000000003E-4</v>
      </c>
      <c r="F17" s="38">
        <f t="shared" si="0"/>
        <v>1.8973102500000004E-4</v>
      </c>
      <c r="G17" s="38">
        <f t="shared" si="0"/>
        <v>1.2265440000000001E-4</v>
      </c>
      <c r="H17" s="50">
        <f t="shared" si="0"/>
        <v>0</v>
      </c>
      <c r="I17" s="50">
        <f t="shared" si="0"/>
        <v>0</v>
      </c>
      <c r="J17" s="50">
        <f t="shared" si="0"/>
        <v>0</v>
      </c>
      <c r="K17" s="50">
        <f t="shared" si="0"/>
        <v>0</v>
      </c>
      <c r="L17" s="50">
        <f t="shared" si="0"/>
        <v>0</v>
      </c>
      <c r="M17" s="23"/>
      <c r="N17" s="23"/>
    </row>
    <row r="18" spans="1:14" s="21" customFormat="1" ht="19.5" customHeight="1" x14ac:dyDescent="0.25">
      <c r="A18" s="45" t="s">
        <v>51</v>
      </c>
      <c r="B18" s="53" t="s">
        <v>46</v>
      </c>
      <c r="C18" s="37">
        <f>(B6+C6/2)*C10*C12*C14*C16*0.0328</f>
        <v>7.4415000000000011E-7</v>
      </c>
      <c r="D18" s="37">
        <f>(C6+D6)/2*D10*D12*D14*D16*0.0328</f>
        <v>8.4562500000000006E-7</v>
      </c>
      <c r="E18" s="37">
        <f t="shared" ref="E18:L18" si="1">IF(ISBLANK(F4),(D6/2+E6)*E10*E12*E14*E16*0.0328,(D6+E6)/2*E10*E12*E14*E16*0.0328)</f>
        <v>6.4267500000000016E-7</v>
      </c>
      <c r="F18" s="37">
        <f t="shared" si="1"/>
        <v>6.0885000000000011E-7</v>
      </c>
      <c r="G18" s="37">
        <f t="shared" si="1"/>
        <v>5.4120000000000011E-7</v>
      </c>
      <c r="H18" s="49">
        <f t="shared" si="1"/>
        <v>0</v>
      </c>
      <c r="I18" s="49">
        <f t="shared" si="1"/>
        <v>0</v>
      </c>
      <c r="J18" s="49">
        <f t="shared" si="1"/>
        <v>0</v>
      </c>
      <c r="K18" s="49">
        <f t="shared" si="1"/>
        <v>0</v>
      </c>
      <c r="L18" s="49">
        <f t="shared" si="1"/>
        <v>0</v>
      </c>
      <c r="M18" s="22"/>
      <c r="N18" s="23"/>
    </row>
    <row r="19" spans="1:14" s="16" customFormat="1" ht="30" customHeight="1" x14ac:dyDescent="0.25">
      <c r="A19" s="52" t="s">
        <v>44</v>
      </c>
      <c r="B19" s="53" t="s">
        <v>46</v>
      </c>
      <c r="C19" s="53" t="s">
        <v>46</v>
      </c>
      <c r="D19" s="53" t="s">
        <v>46</v>
      </c>
      <c r="E19" s="53" t="s">
        <v>46</v>
      </c>
      <c r="F19" s="53" t="s">
        <v>46</v>
      </c>
      <c r="G19" s="53" t="s">
        <v>46</v>
      </c>
      <c r="H19" s="53" t="s">
        <v>46</v>
      </c>
      <c r="I19" s="53" t="s">
        <v>46</v>
      </c>
      <c r="J19" s="53" t="s">
        <v>46</v>
      </c>
      <c r="K19" s="53" t="s">
        <v>46</v>
      </c>
      <c r="L19" s="53" t="s">
        <v>46</v>
      </c>
      <c r="M19" s="23"/>
      <c r="N19" s="22"/>
    </row>
    <row r="20" spans="1:14" s="16" customFormat="1" ht="78" customHeight="1" x14ac:dyDescent="0.2">
      <c r="A20" s="54" t="s">
        <v>55</v>
      </c>
      <c r="B20" s="53" t="s">
        <v>46</v>
      </c>
      <c r="C20" s="23"/>
      <c r="D20" s="39">
        <f>SUM(C17:L17)</f>
        <v>1.2466669875000002E-3</v>
      </c>
      <c r="E20" s="56" t="s">
        <v>53</v>
      </c>
      <c r="F20" s="53" t="s">
        <v>46</v>
      </c>
      <c r="G20" s="53" t="s">
        <v>46</v>
      </c>
      <c r="H20" s="53" t="s">
        <v>46</v>
      </c>
      <c r="I20" s="53" t="s">
        <v>46</v>
      </c>
      <c r="J20" s="53" t="s">
        <v>46</v>
      </c>
      <c r="K20" s="53" t="s">
        <v>46</v>
      </c>
      <c r="L20" s="53" t="s">
        <v>46</v>
      </c>
      <c r="M20" s="23"/>
      <c r="N20" s="23"/>
    </row>
    <row r="21" spans="1:14" s="16" customFormat="1" ht="21" customHeight="1" thickBot="1" x14ac:dyDescent="0.3">
      <c r="A21" s="31" t="s">
        <v>56</v>
      </c>
      <c r="B21" s="53" t="s">
        <v>46</v>
      </c>
      <c r="C21" s="53" t="s">
        <v>46</v>
      </c>
      <c r="D21" s="40">
        <f>SUM(C18:L18)</f>
        <v>3.3825000000000002E-6</v>
      </c>
      <c r="E21" s="56" t="s">
        <v>54</v>
      </c>
      <c r="F21" s="53" t="s">
        <v>46</v>
      </c>
      <c r="G21" s="53" t="s">
        <v>46</v>
      </c>
      <c r="H21" s="53" t="s">
        <v>46</v>
      </c>
      <c r="I21" s="53" t="s">
        <v>46</v>
      </c>
      <c r="J21" s="53" t="s">
        <v>46</v>
      </c>
      <c r="K21" s="53" t="s">
        <v>46</v>
      </c>
      <c r="L21" s="53" t="s">
        <v>46</v>
      </c>
      <c r="M21" s="23"/>
      <c r="N21" s="23"/>
    </row>
    <row r="22" spans="1:14" s="16" customFormat="1" ht="63.75" customHeight="1" thickBot="1" x14ac:dyDescent="0.2">
      <c r="A22" s="16" t="s">
        <v>52</v>
      </c>
      <c r="B22" s="53" t="s">
        <v>46</v>
      </c>
      <c r="C22" s="23"/>
      <c r="D22" s="55">
        <f>D20/D21*0.03532</f>
        <v>13.01767272682927</v>
      </c>
      <c r="E22" s="53" t="s">
        <v>46</v>
      </c>
      <c r="F22" s="53" t="s">
        <v>46</v>
      </c>
      <c r="G22" s="53" t="s">
        <v>46</v>
      </c>
      <c r="H22" s="53" t="s">
        <v>46</v>
      </c>
      <c r="I22" s="53" t="s">
        <v>46</v>
      </c>
      <c r="J22" s="53" t="s">
        <v>46</v>
      </c>
      <c r="K22" s="53" t="s">
        <v>46</v>
      </c>
      <c r="L22" s="53" t="s">
        <v>46</v>
      </c>
      <c r="M22" s="23"/>
      <c r="N22" s="23"/>
    </row>
    <row r="23" spans="1:14" s="16" customFormat="1" x14ac:dyDescent="0.25">
      <c r="A23" s="45" t="s">
        <v>47</v>
      </c>
      <c r="N23" s="23"/>
    </row>
    <row r="24" spans="1:14" s="16" customFormat="1" hidden="1" x14ac:dyDescent="0.25">
      <c r="A24" s="15"/>
      <c r="N24" s="23"/>
    </row>
    <row r="25" spans="1:14" s="16" customFormat="1" hidden="1" x14ac:dyDescent="0.25">
      <c r="A25" s="15"/>
      <c r="N25" s="23"/>
    </row>
    <row r="26" spans="1:14" s="16" customFormat="1" hidden="1" x14ac:dyDescent="0.25">
      <c r="A26" s="15"/>
      <c r="N26" s="23"/>
    </row>
    <row r="27" spans="1:14" s="16" customFormat="1" hidden="1" x14ac:dyDescent="0.25">
      <c r="A27" s="15"/>
      <c r="N27" s="23"/>
    </row>
    <row r="28" spans="1:14" s="16" customFormat="1" hidden="1" x14ac:dyDescent="0.25">
      <c r="A28" s="15"/>
      <c r="N28" s="23"/>
    </row>
    <row r="29" spans="1:14" s="16" customFormat="1" hidden="1" x14ac:dyDescent="0.25">
      <c r="A29" s="15"/>
      <c r="N29" s="23"/>
    </row>
    <row r="30" spans="1:14" s="16" customFormat="1" hidden="1" x14ac:dyDescent="0.25">
      <c r="A30" s="15"/>
      <c r="N30" s="23"/>
    </row>
    <row r="31" spans="1:14" s="16" customFormat="1" hidden="1" x14ac:dyDescent="0.25">
      <c r="A31" s="15"/>
      <c r="N31" s="23"/>
    </row>
    <row r="32" spans="1:14" s="16" customFormat="1" hidden="1" x14ac:dyDescent="0.25">
      <c r="A32" s="15"/>
      <c r="N32" s="23"/>
    </row>
    <row r="33" spans="1:14" s="16" customFormat="1" hidden="1" x14ac:dyDescent="0.25">
      <c r="A33" s="15"/>
      <c r="N33" s="23"/>
    </row>
    <row r="34" spans="1:14" s="16" customFormat="1" hidden="1" x14ac:dyDescent="0.25">
      <c r="A34" s="15"/>
      <c r="N34" s="23"/>
    </row>
    <row r="35" spans="1:14" s="16" customFormat="1" hidden="1" x14ac:dyDescent="0.25">
      <c r="A35" s="15"/>
      <c r="N35" s="23"/>
    </row>
    <row r="36" spans="1:14" s="16" customFormat="1" hidden="1" x14ac:dyDescent="0.25">
      <c r="A36" s="15"/>
      <c r="N36" s="23"/>
    </row>
    <row r="37" spans="1:14" s="16" customFormat="1" hidden="1" x14ac:dyDescent="0.25">
      <c r="A37" s="15"/>
      <c r="N37" s="23"/>
    </row>
    <row r="38" spans="1:14" s="16" customFormat="1" hidden="1" x14ac:dyDescent="0.25">
      <c r="A38" s="15"/>
      <c r="N38" s="23"/>
    </row>
    <row r="39" spans="1:14" s="16" customFormat="1" hidden="1" x14ac:dyDescent="0.25">
      <c r="A39" s="15"/>
      <c r="N39" s="23"/>
    </row>
    <row r="40" spans="1:14" s="16" customFormat="1" hidden="1" x14ac:dyDescent="0.25">
      <c r="A40" s="15"/>
      <c r="N40" s="23"/>
    </row>
    <row r="41" spans="1:14" s="16" customFormat="1" hidden="1" x14ac:dyDescent="0.25">
      <c r="A41" s="15"/>
      <c r="N41" s="23"/>
    </row>
    <row r="42" spans="1:14" s="16" customFormat="1" hidden="1" x14ac:dyDescent="0.25">
      <c r="A42" s="15"/>
      <c r="N42" s="23"/>
    </row>
    <row r="43" spans="1:14" s="16" customFormat="1" hidden="1" x14ac:dyDescent="0.25">
      <c r="A43" s="15"/>
      <c r="N43" s="23"/>
    </row>
    <row r="44" spans="1:14" s="16" customFormat="1" hidden="1" x14ac:dyDescent="0.25">
      <c r="A44" s="15"/>
      <c r="N44" s="23"/>
    </row>
    <row r="45" spans="1:14" s="16" customFormat="1" hidden="1" x14ac:dyDescent="0.25">
      <c r="A45" s="15"/>
      <c r="N45" s="23"/>
    </row>
    <row r="46" spans="1:14" s="16" customFormat="1" hidden="1" x14ac:dyDescent="0.25">
      <c r="A46" s="15"/>
      <c r="N46" s="23"/>
    </row>
    <row r="47" spans="1:14" s="16" customFormat="1" hidden="1" x14ac:dyDescent="0.25">
      <c r="A47" s="15"/>
      <c r="N47" s="23"/>
    </row>
    <row r="48" spans="1:14" s="16" customFormat="1" hidden="1" x14ac:dyDescent="0.25">
      <c r="A48" s="15"/>
      <c r="N48" s="23"/>
    </row>
    <row r="49" spans="1:14" s="16" customFormat="1" hidden="1" x14ac:dyDescent="0.25">
      <c r="A49" s="15"/>
      <c r="N49" s="23"/>
    </row>
    <row r="50" spans="1:14" s="16" customFormat="1" hidden="1" x14ac:dyDescent="0.25">
      <c r="A50" s="15"/>
    </row>
    <row r="51" spans="1:14" s="16" customFormat="1" hidden="1" x14ac:dyDescent="0.25">
      <c r="A51" s="15"/>
    </row>
    <row r="52" spans="1:14" s="16" customFormat="1" hidden="1" x14ac:dyDescent="0.25">
      <c r="A52" s="15"/>
    </row>
    <row r="53" spans="1:14" s="16" customFormat="1" hidden="1" x14ac:dyDescent="0.25">
      <c r="A53" s="15"/>
    </row>
    <row r="54" spans="1:14" s="16" customFormat="1" hidden="1" x14ac:dyDescent="0.25">
      <c r="A54" s="15"/>
    </row>
    <row r="55" spans="1:14" s="16" customFormat="1" hidden="1" x14ac:dyDescent="0.25">
      <c r="A55" s="15"/>
    </row>
    <row r="56" spans="1:14" s="16" customFormat="1" hidden="1" x14ac:dyDescent="0.25">
      <c r="A56" s="15"/>
    </row>
    <row r="57" spans="1:14" s="16" customFormat="1" hidden="1" x14ac:dyDescent="0.25">
      <c r="A57" s="15"/>
    </row>
    <row r="58" spans="1:14" s="16" customFormat="1" hidden="1" x14ac:dyDescent="0.25">
      <c r="A58" s="15"/>
    </row>
    <row r="59" spans="1:14" s="16" customFormat="1" hidden="1" x14ac:dyDescent="0.25">
      <c r="A59" s="15"/>
    </row>
    <row r="60" spans="1:14" s="16" customFormat="1" hidden="1" x14ac:dyDescent="0.25">
      <c r="A60" s="15"/>
    </row>
    <row r="61" spans="1:14" s="16" customFormat="1" hidden="1" x14ac:dyDescent="0.25">
      <c r="A61" s="15"/>
    </row>
    <row r="62" spans="1:14" s="16" customFormat="1" hidden="1" x14ac:dyDescent="0.25">
      <c r="A62" s="15"/>
    </row>
    <row r="63" spans="1:14" s="16" customFormat="1" hidden="1" x14ac:dyDescent="0.25">
      <c r="A63" s="15"/>
    </row>
    <row r="64" spans="1:14" s="16" customFormat="1" hidden="1" x14ac:dyDescent="0.25">
      <c r="A64" s="15"/>
    </row>
  </sheetData>
  <sheetProtection password="CC63" sheet="1" objects="1" scenarios="1" selectLockedCells="1"/>
  <pageMargins left="0.22" right="0.23" top="0.75" bottom="0.75" header="0.3" footer="0.3"/>
  <pageSetup scale="56" orientation="landscape"/>
  <cellWatches>
    <cellWatch r="D22"/>
  </cellWatches>
  <drawing r:id="rId1"/>
  <legacyDrawing r:id="rId2"/>
  <oleObjects>
    <mc:AlternateContent xmlns:mc="http://schemas.openxmlformats.org/markup-compatibility/2006">
      <mc:Choice Requires="x14">
        <oleObject progId="Equation.3" shapeId="1027" r:id="rId3">
          <objectPr defaultSize="0" autoPict="0" altText="Equation for COC mass flux" r:id="rId4">
            <anchor moveWithCells="1">
              <from>
                <xdr:col>0</xdr:col>
                <xdr:colOff>3990975</xdr:colOff>
                <xdr:row>16</xdr:row>
                <xdr:rowOff>0</xdr:rowOff>
              </from>
              <to>
                <xdr:col>0</xdr:col>
                <xdr:colOff>4600575</xdr:colOff>
                <xdr:row>17</xdr:row>
                <xdr:rowOff>47625</xdr:rowOff>
              </to>
            </anchor>
          </objectPr>
        </oleObject>
      </mc:Choice>
      <mc:Fallback>
        <oleObject progId="Equation.3" shapeId="1027" r:id="rId3"/>
      </mc:Fallback>
    </mc:AlternateContent>
    <mc:AlternateContent xmlns:mc="http://schemas.openxmlformats.org/markup-compatibility/2006">
      <mc:Choice Requires="x14">
        <oleObject progId="Equation.3" shapeId="1028" r:id="rId5">
          <objectPr defaultSize="0" autoPict="0" altText="Equation for groundwater discharge" r:id="rId6">
            <anchor moveWithCells="1">
              <from>
                <xdr:col>0</xdr:col>
                <xdr:colOff>4076700</xdr:colOff>
                <xdr:row>17</xdr:row>
                <xdr:rowOff>0</xdr:rowOff>
              </from>
              <to>
                <xdr:col>0</xdr:col>
                <xdr:colOff>4610100</xdr:colOff>
                <xdr:row>18</xdr:row>
                <xdr:rowOff>76200</xdr:rowOff>
              </to>
            </anchor>
          </objectPr>
        </oleObject>
      </mc:Choice>
      <mc:Fallback>
        <oleObject progId="Equation.3" shapeId="1028" r:id="rId5"/>
      </mc:Fallback>
    </mc:AlternateContent>
    <mc:AlternateContent xmlns:mc="http://schemas.openxmlformats.org/markup-compatibility/2006">
      <mc:Choice Requires="x14">
        <oleObject progId="Equation.3" shapeId="1029" r:id="rId7">
          <objectPr defaultSize="0" autoPict="0" altText="Equation for total COC mass flux (as a summation) divided by total groundwater discharge (as a summation)." r:id="rId8">
            <anchor moveWithCells="1">
              <from>
                <xdr:col>2</xdr:col>
                <xdr:colOff>104775</xdr:colOff>
                <xdr:row>19</xdr:row>
                <xdr:rowOff>190500</xdr:rowOff>
              </from>
              <to>
                <xdr:col>2</xdr:col>
                <xdr:colOff>1047750</xdr:colOff>
                <xdr:row>19</xdr:row>
                <xdr:rowOff>866775</xdr:rowOff>
              </to>
            </anchor>
          </objectPr>
        </oleObject>
      </mc:Choice>
      <mc:Fallback>
        <oleObject progId="Equation.3" shapeId="1029" r:id="rId7"/>
      </mc:Fallback>
    </mc:AlternateContent>
    <mc:AlternateContent xmlns:mc="http://schemas.openxmlformats.org/markup-compatibility/2006">
      <mc:Choice Requires="x14">
        <oleObject progId="Equation.3" shapeId="1030" r:id="rId9">
          <objectPr defaultSize="0" autoPict="0" altText="Equation for discharge weighted representative groundwater concentration." r:id="rId10">
            <anchor moveWithCells="1">
              <from>
                <xdr:col>2</xdr:col>
                <xdr:colOff>85725</xdr:colOff>
                <xdr:row>21</xdr:row>
                <xdr:rowOff>190500</xdr:rowOff>
              </from>
              <to>
                <xdr:col>2</xdr:col>
                <xdr:colOff>819150</xdr:colOff>
                <xdr:row>21</xdr:row>
                <xdr:rowOff>685800</xdr:rowOff>
              </to>
            </anchor>
          </objectPr>
        </oleObject>
      </mc:Choice>
      <mc:Fallback>
        <oleObject progId="Equation.3" shapeId="1030" r:id="rId9"/>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8"/>
  <sheetViews>
    <sheetView workbookViewId="0">
      <selection activeCell="A9" sqref="A9:XFD10"/>
    </sheetView>
  </sheetViews>
  <sheetFormatPr defaultColWidth="0" defaultRowHeight="15" zeroHeight="1" x14ac:dyDescent="0.25"/>
  <cols>
    <col min="1" max="1" width="104.28515625" customWidth="1"/>
    <col min="2" max="16384" width="9.140625" hidden="1"/>
  </cols>
  <sheetData>
    <row r="1" spans="1:1" ht="225" x14ac:dyDescent="0.25">
      <c r="A1" s="28" t="s">
        <v>34</v>
      </c>
    </row>
    <row r="2" spans="1:1" x14ac:dyDescent="0.25"/>
    <row r="3" spans="1:1" x14ac:dyDescent="0.25"/>
    <row r="4" spans="1:1" x14ac:dyDescent="0.25"/>
    <row r="5" spans="1:1" x14ac:dyDescent="0.25"/>
    <row r="6" spans="1:1" x14ac:dyDescent="0.25"/>
    <row r="7" spans="1:1" x14ac:dyDescent="0.25"/>
    <row r="8" spans="1:1" x14ac:dyDescent="0.25">
      <c r="A8" t="s">
        <v>49</v>
      </c>
    </row>
  </sheetData>
  <pageMargins left="0.7" right="0.7" top="0.75" bottom="0.75" header="0.3" footer="0.3"/>
  <drawing r:id="rId1"/>
  <legacyDrawing r:id="rId2"/>
  <oleObjects>
    <mc:AlternateContent xmlns:mc="http://schemas.openxmlformats.org/markup-compatibility/2006">
      <mc:Choice Requires="x14">
        <oleObject progId="Equation.3" shapeId="4097" r:id="rId3">
          <objectPr defaultSize="0" autoPict="0" altText="See worksheet &quot;Explanation of Equation Figure&quot; for information about the equation in this image." r:id="rId4">
            <anchor moveWithCells="1">
              <from>
                <xdr:col>0</xdr:col>
                <xdr:colOff>28575</xdr:colOff>
                <xdr:row>1</xdr:row>
                <xdr:rowOff>38100</xdr:rowOff>
              </from>
              <to>
                <xdr:col>0</xdr:col>
                <xdr:colOff>6800850</xdr:colOff>
                <xdr:row>6</xdr:row>
                <xdr:rowOff>142875</xdr:rowOff>
              </to>
            </anchor>
          </objectPr>
        </oleObject>
      </mc:Choice>
      <mc:Fallback>
        <oleObject progId="Equation.3" shapeId="4097" r:id="rId3"/>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A25" sqref="A25:XFD25"/>
    </sheetView>
  </sheetViews>
  <sheetFormatPr defaultColWidth="0" defaultRowHeight="15" zeroHeight="1" x14ac:dyDescent="0.25"/>
  <cols>
    <col min="1" max="1" width="112.85546875" customWidth="1"/>
    <col min="2" max="16384" width="9.140625" hidden="1"/>
  </cols>
  <sheetData>
    <row r="1" spans="1:1" ht="105" x14ac:dyDescent="0.25">
      <c r="A1" s="28" t="s">
        <v>36</v>
      </c>
    </row>
    <row r="2" spans="1:1" x14ac:dyDescent="0.25"/>
    <row r="3" spans="1:1" x14ac:dyDescent="0.25"/>
    <row r="4" spans="1:1" x14ac:dyDescent="0.25"/>
    <row r="5" spans="1:1" x14ac:dyDescent="0.25"/>
    <row r="6" spans="1:1" x14ac:dyDescent="0.25"/>
    <row r="7" spans="1:1" x14ac:dyDescent="0.25"/>
    <row r="8" spans="1:1" x14ac:dyDescent="0.25"/>
    <row r="9" spans="1:1" x14ac:dyDescent="0.25"/>
    <row r="10" spans="1:1" x14ac:dyDescent="0.25"/>
    <row r="11" spans="1:1" x14ac:dyDescent="0.25"/>
    <row r="12" spans="1:1" x14ac:dyDescent="0.25"/>
    <row r="13" spans="1:1" x14ac:dyDescent="0.25"/>
    <row r="14" spans="1:1" x14ac:dyDescent="0.25"/>
    <row r="15" spans="1:1" x14ac:dyDescent="0.25"/>
    <row r="16" spans="1:1" x14ac:dyDescent="0.25"/>
    <row r="17" spans="1:1" x14ac:dyDescent="0.25"/>
    <row r="18" spans="1:1" x14ac:dyDescent="0.25"/>
    <row r="19" spans="1:1" x14ac:dyDescent="0.25"/>
    <row r="20" spans="1:1" x14ac:dyDescent="0.25"/>
    <row r="21" spans="1:1" x14ac:dyDescent="0.25"/>
    <row r="22" spans="1:1" x14ac:dyDescent="0.25"/>
    <row r="23" spans="1:1" x14ac:dyDescent="0.25"/>
    <row r="24" spans="1:1" x14ac:dyDescent="0.25">
      <c r="A24" t="s">
        <v>49</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Instructions</vt:lpstr>
      <vt:lpstr>Calculation</vt:lpstr>
      <vt:lpstr>EQ 12</vt:lpstr>
      <vt:lpstr>Figure D2</vt:lpstr>
      <vt:lpstr>Calculation!Print_Area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Boothby</dc:creator>
  <cp:lastModifiedBy>Laura Boothby</cp:lastModifiedBy>
  <dcterms:created xsi:type="dcterms:W3CDTF">2022-06-07T17:49:52Z</dcterms:created>
  <dcterms:modified xsi:type="dcterms:W3CDTF">2022-06-07T17:49:53Z</dcterms:modified>
</cp:coreProperties>
</file>