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showSheetTabs="0" xWindow="360" yWindow="60" windowWidth="19440" windowHeight="10110"/>
  </x:bookViews>
  <x:sheets>
    <x:sheet name="Sheet1" sheetId="1" r:id="rId1"/>
    <x:sheet name="Sheet2" sheetId="2" r:id="rId2"/>
    <x:sheet name="Sheet3" sheetId="3" r:id="rId3"/>
  </x:sheets>
  <x:definedNames>
    <x:definedName name="_xlnm.Print_Area" localSheetId="0">Sheet1!$A$2:$O$52</x:definedName>
  </x:definedNames>
  <x:calcPr calcId="145621"/>
</x:workbook>
</file>

<file path=xl/calcChain.xml><?xml version="1.0" encoding="utf-8"?>
<calcChain xmlns="http://schemas.openxmlformats.org/spreadsheetml/2006/main">
  <c r="F47" i="1" l="1"/>
  <c r="G45" i="1"/>
  <c r="F45" i="1"/>
  <c r="N45" i="1"/>
  <c r="M45" i="1"/>
  <c r="L45" i="1"/>
  <c r="K45" i="1"/>
  <c r="J45" i="1"/>
  <c r="I45" i="1"/>
  <c r="E47" i="1" l="1"/>
  <c r="G47" i="1"/>
  <c r="H47" i="1"/>
  <c r="I47" i="1"/>
  <c r="H45" i="1"/>
  <c r="E45" i="1"/>
  <c r="J47" i="1"/>
  <c r="K47" i="1"/>
  <c r="L47" i="1"/>
  <c r="M47" i="1"/>
  <c r="N47" i="1"/>
  <c r="J22" i="1"/>
  <c r="F50" i="1" l="1"/>
  <c r="F51" i="1"/>
  <c r="H50" i="1" l="1"/>
  <c r="N42" i="1"/>
  <c r="M42" i="1"/>
  <c r="L42" i="1"/>
  <c r="K42" i="1"/>
  <c r="J42" i="1"/>
  <c r="I42" i="1"/>
  <c r="H42" i="1"/>
  <c r="G42" i="1"/>
  <c r="N39" i="1"/>
  <c r="M39" i="1"/>
  <c r="L39" i="1"/>
  <c r="K39" i="1"/>
  <c r="J39" i="1"/>
  <c r="I39" i="1"/>
  <c r="H39" i="1"/>
  <c r="G39" i="1"/>
  <c r="H36" i="1"/>
  <c r="G36" i="1"/>
  <c r="I36" i="1"/>
  <c r="J36" i="1"/>
  <c r="K36" i="1"/>
  <c r="L36" i="1"/>
  <c r="M36" i="1"/>
  <c r="N36" i="1"/>
  <c r="G33" i="1"/>
  <c r="H33" i="1"/>
  <c r="I33" i="1"/>
  <c r="J33" i="1"/>
  <c r="K33" i="1"/>
  <c r="L33" i="1"/>
  <c r="M33" i="1"/>
  <c r="N33" i="1"/>
  <c r="G30" i="1"/>
  <c r="H30" i="1"/>
  <c r="I30" i="1"/>
  <c r="J30" i="1"/>
  <c r="K30" i="1"/>
  <c r="L30" i="1"/>
  <c r="M30" i="1"/>
  <c r="N30" i="1"/>
  <c r="G27" i="1"/>
  <c r="H27" i="1"/>
  <c r="I27" i="1"/>
  <c r="J27" i="1"/>
  <c r="K27" i="1"/>
  <c r="L27" i="1"/>
  <c r="M27" i="1"/>
  <c r="N27" i="1"/>
  <c r="N24" i="1"/>
  <c r="M24" i="1"/>
  <c r="L24" i="1"/>
  <c r="K24" i="1"/>
  <c r="J24" i="1"/>
  <c r="I24" i="1"/>
  <c r="H24" i="1"/>
  <c r="G24" i="1"/>
</calcChain>
</file>

<file path=xl/sharedStrings.xml><?xml version="1.0" encoding="utf-8"?>
<sst xmlns="http://schemas.openxmlformats.org/spreadsheetml/2006/main" count="44" uniqueCount="44">
  <si>
    <t>MW-1</t>
  </si>
  <si>
    <t>Well 1</t>
  </si>
  <si>
    <t>Well 2</t>
  </si>
  <si>
    <t>d0</t>
  </si>
  <si>
    <t>d1</t>
  </si>
  <si>
    <t>d2</t>
  </si>
  <si>
    <r>
      <t>Enter designation of monitoring wells in plume (from d</t>
    </r>
    <r>
      <rPr>
        <b/>
        <vertAlign val="subscript"/>
        <sz val="10"/>
        <color theme="1"/>
        <rFont val="Calibri"/>
        <family val="2"/>
        <scheme val="minor"/>
      </rPr>
      <t>0</t>
    </r>
    <r>
      <rPr>
        <b/>
        <sz val="10"/>
        <color theme="1"/>
        <rFont val="Calibri"/>
        <family val="2"/>
        <scheme val="minor"/>
      </rPr>
      <t xml:space="preserve">; see Figure D2): </t>
    </r>
  </si>
  <si>
    <t>C1</t>
  </si>
  <si>
    <t>C2</t>
  </si>
  <si>
    <t>Monitoring Wells</t>
  </si>
  <si>
    <t>Groundwater Concentrations</t>
  </si>
  <si>
    <t xml:space="preserve">Enter groundwater COC concentration from each well in plume (mg/L):  </t>
  </si>
  <si>
    <t>Aquifer Parameters</t>
  </si>
  <si>
    <t>K1</t>
  </si>
  <si>
    <t>K2</t>
  </si>
  <si>
    <t xml:space="preserve">Hydraulic conductivity (cm/s): </t>
  </si>
  <si>
    <t>dh/dl1</t>
  </si>
  <si>
    <t>dh/dl2</t>
  </si>
  <si>
    <t xml:space="preserve">Hydraulic gradient (-): </t>
  </si>
  <si>
    <t xml:space="preserve">Effective porosity (-): </t>
  </si>
  <si>
    <t>ηe1</t>
  </si>
  <si>
    <t>ηe2</t>
  </si>
  <si>
    <t>b1</t>
  </si>
  <si>
    <t>b2</t>
  </si>
  <si>
    <t xml:space="preserve">Aquifer saturated thickness discharging to surface water (ft): </t>
  </si>
  <si>
    <t xml:space="preserve">6. Enter values IN UNITS DENOTED </t>
  </si>
  <si>
    <t>7. Representative groundwater concentration displayed in blue box at bottom</t>
  </si>
  <si>
    <t xml:space="preserve">2. Enter data only in uncolored cells </t>
  </si>
  <si>
    <t xml:space="preserve">    INSTRUCTIONS:</t>
  </si>
  <si>
    <t>MW-2</t>
  </si>
  <si>
    <t>MW-3</t>
  </si>
  <si>
    <t>[EQ 12]</t>
  </si>
  <si>
    <t>8. DELETE DATA IN COLUMNS WITH NO WELL DESIGNATION</t>
  </si>
  <si>
    <t>1. Calculator solves general condition described in [EQ 12], below</t>
  </si>
  <si>
    <t>MW-4</t>
  </si>
  <si>
    <t>MW-5</t>
  </si>
  <si>
    <t>Enter interwell and plume-edge distances per Figure D-2 (ft):</t>
  </si>
  <si>
    <r>
      <t xml:space="preserve">Number of monitoring wells inside GW plume:   </t>
    </r>
    <r>
      <rPr>
        <b/>
        <sz val="14"/>
        <color theme="1"/>
        <rFont val="Calibri"/>
        <family val="2"/>
        <scheme val="minor"/>
      </rPr>
      <t xml:space="preserve">n = </t>
    </r>
  </si>
  <si>
    <t>5. Enter remaining COC and aquifer parameter data from each respective monitoring well</t>
  </si>
  <si>
    <t>Interwell Distances</t>
  </si>
  <si>
    <t>(table below contains example D.1 information - replace with site well information)</t>
  </si>
  <si>
    <t xml:space="preserve">3. BEGIN by entering monitoring well designations starting with "Well 1," and consistent with the order presented in Figure D.2 (Appendix D, TRRP-15eco) and reproduced here - Up to 10 groundwater/surface water interface monitoring wells may be entered </t>
  </si>
  <si>
    <t>4. Enter distances as shown in Figure D.2 (Appendix D, TRRP-15eco)</t>
  </si>
  <si>
    <t>TRRP-15eco:  Discharge-Weighted Representative Groundwater COC Concentration at Surface Water Interface (v. 1.2 Oct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</si>
</sst>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&quot; ft&quot;"/>
    <numFmt numFmtId="165" formatCode="0.00&quot; mg/L&quot;"/>
    <numFmt numFmtId="166" formatCode="0.00E+00&quot; cm/s&quot;"/>
    <numFmt numFmtId="167" formatCode="0.00E+00&quot; mg/s&quot;"/>
    <numFmt numFmtId="168" formatCode="0.00E+00&quot; cfs&quot;"/>
    <numFmt numFmtId="169" formatCode="0.00E+00&quot; mg/L&quot;"/>
    <numFmt numFmtId="170" formatCode="0.00&quot; ft&quot;"/>
    <numFmt numFmtId="171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2"/>
      <color theme="9" tint="-0.499984740745262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3" tint="0.7999816888943144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8" fontId="5" fillId="3" borderId="10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166" fontId="0" fillId="0" borderId="10" xfId="0" applyNumberFormat="1" applyFill="1" applyBorder="1" applyAlignment="1" applyProtection="1">
      <alignment horizontal="center" vertical="center"/>
      <protection locked="0"/>
    </xf>
    <xf numFmtId="171" fontId="0" fillId="0" borderId="10" xfId="0" applyNumberFormat="1" applyFill="1" applyBorder="1" applyAlignment="1" applyProtection="1">
      <alignment horizontal="center" vertical="center"/>
      <protection locked="0"/>
    </xf>
    <xf numFmtId="170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67" fontId="5" fillId="3" borderId="10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/>
    </xf>
    <xf numFmtId="0" fontId="8" fillId="0" borderId="0" xfId="1" applyAlignment="1" applyProtection="1">
      <alignment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69" fontId="6" fillId="4" borderId="11" xfId="0" applyNumberFormat="1" applyFont="1" applyFill="1" applyBorder="1" applyAlignment="1">
      <alignment horizontal="center" vertical="center"/>
    </xf>
    <xf numFmtId="169" fontId="6" fillId="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0" borderId="0" xfId="1" applyAlignment="1" applyProtection="1">
      <alignment horizontal="left" vertic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15</xdr:row>
          <xdr:rowOff>76200</xdr:rowOff>
        </xdr:from>
        <xdr:to>
          <xdr:col>12</xdr:col>
          <xdr:colOff>942975</xdr:colOff>
          <xdr:row>20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43</xdr:row>
          <xdr:rowOff>171450</xdr:rowOff>
        </xdr:from>
        <xdr:to>
          <xdr:col>3</xdr:col>
          <xdr:colOff>647700</xdr:colOff>
          <xdr:row>45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45</xdr:row>
          <xdr:rowOff>85725</xdr:rowOff>
        </xdr:from>
        <xdr:to>
          <xdr:col>3</xdr:col>
          <xdr:colOff>638175</xdr:colOff>
          <xdr:row>47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48</xdr:row>
          <xdr:rowOff>123825</xdr:rowOff>
        </xdr:from>
        <xdr:to>
          <xdr:col>4</xdr:col>
          <xdr:colOff>923925</xdr:colOff>
          <xdr:row>51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49</xdr:row>
          <xdr:rowOff>9525</xdr:rowOff>
        </xdr:from>
        <xdr:to>
          <xdr:col>6</xdr:col>
          <xdr:colOff>1000125</xdr:colOff>
          <xdr:row>50</xdr:row>
          <xdr:rowOff>238125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298361</xdr:colOff>
      <xdr:row>2</xdr:row>
      <xdr:rowOff>114749</xdr:rowOff>
    </xdr:from>
    <xdr:to>
      <xdr:col>5</xdr:col>
      <xdr:colOff>918072</xdr:colOff>
      <xdr:row>20</xdr:row>
      <xdr:rowOff>179587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361" y="504930"/>
          <a:ext cx="6380615" cy="3668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Type="http://schemas.openxmlformats.org/officeDocument/2006/relationships/oleObject" Target="../embeddings/oleObject3.bin" Id="rId8" />
  <Relationship Type="http://schemas.openxmlformats.org/officeDocument/2006/relationships/image" Target="../media/image5.emf" Id="rId13" />
  <Relationship Type="http://schemas.openxmlformats.org/officeDocument/2006/relationships/vmlDrawing" Target="../drawings/vmlDrawing1.vml" Id="rId3" />
  <Relationship Type="http://schemas.openxmlformats.org/officeDocument/2006/relationships/image" Target="../media/image2.emf" Id="rId7" />
  <Relationship Type="http://schemas.openxmlformats.org/officeDocument/2006/relationships/oleObject" Target="../embeddings/oleObject5.bin" Id="rId12" />
  <Relationship Type="http://schemas.openxmlformats.org/officeDocument/2006/relationships/drawing" Target="../drawings/drawing1.xml" Id="rId2" />
  <Relationship Type="http://schemas.openxmlformats.org/officeDocument/2006/relationships/oleObject" Target="../embeddings/oleObject2.bin" Id="rId6" />
  <Relationship Type="http://schemas.openxmlformats.org/officeDocument/2006/relationships/image" Target="../media/image4.emf" Id="rId11" />
  <Relationship Type="http://schemas.openxmlformats.org/officeDocument/2006/relationships/image" Target="../media/image1.emf" Id="rId5" />
  <Relationship Type="http://schemas.openxmlformats.org/officeDocument/2006/relationships/oleObject" Target="../embeddings/oleObject4.bin" Id="rId10" />
  <Relationship Type="http://schemas.openxmlformats.org/officeDocument/2006/relationships/oleObject" Target="../embeddings/oleObject1.bin" Id="rId4" />
  <Relationship Type="http://schemas.openxmlformats.org/officeDocument/2006/relationships/image" Target="../media/image3.emf" Id="rId9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O99"/>
  <sheetViews>
    <sheetView showGridLines="0" showRowColHeaders="0" showZeros="0" tabSelected="1" topLeftCell="B1" zoomScale="83" zoomScaleNormal="83" workbookViewId="0">
      <selection activeCell="J28" sqref="J28"/>
    </sheetView>
  </sheetViews>
  <sheetFormatPr defaultRowHeight="15" x14ac:dyDescent="0.25"/>
  <cols>
    <col min="1" max="1" width="22.85546875" customWidth="1"/>
    <col min="2" max="2" width="5.28515625" customWidth="1"/>
    <col min="3" max="3" width="31.7109375" customWidth="1"/>
    <col min="4" max="4" width="9.85546875" customWidth="1"/>
    <col min="5" max="14" width="16.7109375" customWidth="1"/>
    <col min="15" max="15" width="2.28515625" customWidth="1"/>
  </cols>
  <sheetData>
    <row r="2" spans="2:14" x14ac:dyDescent="0.25"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4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2:14" ht="18.75" x14ac:dyDescent="0.25">
      <c r="G5" s="63" t="s">
        <v>28</v>
      </c>
      <c r="H5" s="63"/>
      <c r="I5" s="63"/>
      <c r="J5" s="63"/>
    </row>
    <row r="6" spans="2:14" x14ac:dyDescent="0.25">
      <c r="G6" s="64" t="s">
        <v>33</v>
      </c>
      <c r="H6" s="64"/>
      <c r="I6" s="64"/>
      <c r="J6" s="64"/>
      <c r="K6" s="64"/>
      <c r="L6" s="64"/>
    </row>
    <row r="7" spans="2:14" x14ac:dyDescent="0.25">
      <c r="G7" t="s">
        <v>27</v>
      </c>
    </row>
    <row r="8" spans="2:14" x14ac:dyDescent="0.25">
      <c r="G8" s="65" t="s">
        <v>41</v>
      </c>
      <c r="H8" s="65"/>
      <c r="I8" s="65"/>
      <c r="J8" s="65"/>
      <c r="K8" s="65"/>
      <c r="L8" s="65"/>
      <c r="M8" s="65"/>
      <c r="N8" s="65"/>
    </row>
    <row r="9" spans="2:14" x14ac:dyDescent="0.25">
      <c r="G9" s="65"/>
      <c r="H9" s="65"/>
      <c r="I9" s="65"/>
      <c r="J9" s="65"/>
      <c r="K9" s="65"/>
      <c r="L9" s="65"/>
      <c r="M9" s="65"/>
      <c r="N9" s="65"/>
    </row>
    <row r="10" spans="2:14" x14ac:dyDescent="0.25">
      <c r="G10" s="64" t="s">
        <v>42</v>
      </c>
      <c r="H10" s="64"/>
      <c r="I10" s="64"/>
      <c r="J10" s="64"/>
      <c r="K10" s="64"/>
      <c r="L10" s="64"/>
      <c r="M10" s="64"/>
      <c r="N10" s="64"/>
    </row>
    <row r="11" spans="2:14" x14ac:dyDescent="0.25">
      <c r="G11" s="64" t="s">
        <v>38</v>
      </c>
      <c r="H11" s="64"/>
      <c r="I11" s="64"/>
      <c r="J11" s="64"/>
      <c r="K11" s="64"/>
      <c r="L11" s="64"/>
      <c r="M11" s="64"/>
      <c r="N11" s="64"/>
    </row>
    <row r="12" spans="2:14" x14ac:dyDescent="0.25">
      <c r="G12" s="64" t="s">
        <v>25</v>
      </c>
      <c r="H12" s="64"/>
      <c r="I12" s="64"/>
      <c r="J12" s="64"/>
      <c r="K12" s="64"/>
      <c r="L12" s="64"/>
      <c r="M12" s="64"/>
      <c r="N12" s="46"/>
    </row>
    <row r="13" spans="2:14" x14ac:dyDescent="0.25">
      <c r="G13" t="s">
        <v>26</v>
      </c>
    </row>
    <row r="14" spans="2:14" x14ac:dyDescent="0.25">
      <c r="G14" s="64" t="s">
        <v>32</v>
      </c>
      <c r="H14" s="64"/>
      <c r="I14" s="64"/>
      <c r="J14" s="64"/>
      <c r="K14" s="66"/>
      <c r="L14" s="66"/>
    </row>
    <row r="15" spans="2:14" x14ac:dyDescent="0.25">
      <c r="G15" s="4" t="s">
        <v>40</v>
      </c>
      <c r="H15" s="4"/>
      <c r="I15" s="4"/>
      <c r="J15" s="4"/>
      <c r="K15" s="56"/>
      <c r="L15" s="56"/>
    </row>
    <row r="18" spans="1:15" ht="18.75" x14ac:dyDescent="0.3">
      <c r="N18" s="45" t="s">
        <v>31</v>
      </c>
    </row>
    <row r="20" spans="1:15" ht="15.75" customHeight="1" x14ac:dyDescent="0.25">
      <c r="B20" s="2"/>
      <c r="C20" s="2"/>
    </row>
    <row r="21" spans="1:15" ht="15.75" thickBot="1" x14ac:dyDescent="0.3">
      <c r="A21" s="2"/>
      <c r="B21" s="2"/>
      <c r="C21" s="2"/>
    </row>
    <row r="22" spans="1:15" ht="25.5" customHeight="1" x14ac:dyDescent="0.25">
      <c r="A22" s="7"/>
      <c r="B22" s="8"/>
      <c r="C22" s="8"/>
      <c r="D22" s="8"/>
      <c r="E22" s="8"/>
      <c r="F22" s="59" t="s">
        <v>37</v>
      </c>
      <c r="G22" s="59"/>
      <c r="H22" s="59"/>
      <c r="I22" s="59"/>
      <c r="J22" s="55">
        <f>COUNTA(E25:N25,"*")-1</f>
        <v>5</v>
      </c>
      <c r="K22" s="8"/>
      <c r="L22" s="8"/>
      <c r="M22" s="8"/>
      <c r="N22" s="8"/>
      <c r="O22" s="9"/>
    </row>
    <row r="23" spans="1:15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s="3" customFormat="1" ht="15.75" x14ac:dyDescent="0.25">
      <c r="A24" s="67" t="s">
        <v>9</v>
      </c>
      <c r="B24" s="68"/>
      <c r="C24" s="68"/>
      <c r="D24" s="13"/>
      <c r="E24" s="13" t="s">
        <v>1</v>
      </c>
      <c r="F24" s="13" t="s">
        <v>2</v>
      </c>
      <c r="G24" s="13" t="str">
        <f>IF(ISBLANK(G25),"","Well 3")</f>
        <v>Well 3</v>
      </c>
      <c r="H24" s="13" t="str">
        <f>IF(ISBLANK(H25),"","Well 4")</f>
        <v>Well 4</v>
      </c>
      <c r="I24" s="13" t="str">
        <f>IF(ISBLANK(I25),"","Well 5")</f>
        <v>Well 5</v>
      </c>
      <c r="J24" s="13" t="str">
        <f>IF(ISBLANK(J25),"","Well 6")</f>
        <v/>
      </c>
      <c r="K24" s="13" t="str">
        <f>IF(ISBLANK(K25),"","Well 7")</f>
        <v/>
      </c>
      <c r="L24" s="13" t="str">
        <f>IF(ISBLANK(L25),"","Well 8")</f>
        <v/>
      </c>
      <c r="M24" s="13" t="str">
        <f>IF(ISBLANK(M25),"","Well 9")</f>
        <v/>
      </c>
      <c r="N24" s="13" t="str">
        <f>IF(ISBLANK(N25),"","Well 10")</f>
        <v/>
      </c>
      <c r="O24" s="14"/>
    </row>
    <row r="25" spans="1:15" s="1" customFormat="1" x14ac:dyDescent="0.25">
      <c r="A25" s="71" t="s">
        <v>6</v>
      </c>
      <c r="B25" s="72"/>
      <c r="C25" s="72"/>
      <c r="D25" s="15"/>
      <c r="E25" s="47" t="s">
        <v>0</v>
      </c>
      <c r="F25" s="47" t="s">
        <v>29</v>
      </c>
      <c r="G25" s="47" t="s">
        <v>30</v>
      </c>
      <c r="H25" s="47" t="s">
        <v>34</v>
      </c>
      <c r="I25" s="47" t="s">
        <v>35</v>
      </c>
      <c r="J25" s="47"/>
      <c r="K25" s="47"/>
      <c r="L25" s="47"/>
      <c r="M25" s="47"/>
      <c r="N25" s="47"/>
      <c r="O25" s="16"/>
    </row>
    <row r="26" spans="1:15" s="1" customFormat="1" ht="5.25" customHeight="1" x14ac:dyDescent="0.25">
      <c r="A26" s="17"/>
      <c r="B26" s="18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6"/>
    </row>
    <row r="27" spans="1:15" s="5" customFormat="1" ht="15.75" x14ac:dyDescent="0.25">
      <c r="A27" s="67" t="s">
        <v>39</v>
      </c>
      <c r="B27" s="68"/>
      <c r="C27" s="68"/>
      <c r="D27" s="21" t="s">
        <v>3</v>
      </c>
      <c r="E27" s="21" t="s">
        <v>4</v>
      </c>
      <c r="F27" s="21" t="s">
        <v>5</v>
      </c>
      <c r="G27" s="21" t="str">
        <f>IF(ISBLANK(G25),"","d3")</f>
        <v>d3</v>
      </c>
      <c r="H27" s="21" t="str">
        <f>IF(ISBLANK(H25),"","d4")</f>
        <v>d4</v>
      </c>
      <c r="I27" s="21" t="str">
        <f>IF(ISBLANK(I25),"","d5")</f>
        <v>d5</v>
      </c>
      <c r="J27" s="21" t="str">
        <f>IF(ISBLANK(J25),"","d6")</f>
        <v/>
      </c>
      <c r="K27" s="21" t="str">
        <f>IF(ISBLANK(K25),"","d7")</f>
        <v/>
      </c>
      <c r="L27" s="21" t="str">
        <f>IF(ISBLANK(L25),"","d8")</f>
        <v/>
      </c>
      <c r="M27" s="21" t="str">
        <f>IF(ISBLANK(M25),"","d9")</f>
        <v/>
      </c>
      <c r="N27" s="21" t="str">
        <f>IF(ISBLANK(N25),"","d10")</f>
        <v/>
      </c>
      <c r="O27" s="22"/>
    </row>
    <row r="28" spans="1:15" x14ac:dyDescent="0.25">
      <c r="A28" s="73" t="s">
        <v>36</v>
      </c>
      <c r="B28" s="74"/>
      <c r="C28" s="74"/>
      <c r="D28" s="48">
        <v>20</v>
      </c>
      <c r="E28" s="48">
        <v>70</v>
      </c>
      <c r="F28" s="48">
        <v>55</v>
      </c>
      <c r="G28" s="48">
        <v>40</v>
      </c>
      <c r="H28" s="48">
        <v>50</v>
      </c>
      <c r="I28" s="48">
        <v>15</v>
      </c>
      <c r="J28" s="48"/>
      <c r="K28" s="48"/>
      <c r="L28" s="48"/>
      <c r="M28" s="48"/>
      <c r="N28" s="48"/>
      <c r="O28" s="23"/>
    </row>
    <row r="29" spans="1:15" ht="7.5" customHeight="1" x14ac:dyDescent="0.25">
      <c r="A29" s="24"/>
      <c r="B29" s="25"/>
      <c r="C29" s="25"/>
      <c r="D29" s="11"/>
      <c r="E29" s="11"/>
      <c r="F29" s="11"/>
      <c r="G29" s="21"/>
      <c r="H29" s="11"/>
      <c r="I29" s="11"/>
      <c r="J29" s="11"/>
      <c r="K29" s="11"/>
      <c r="L29" s="11"/>
      <c r="M29" s="11"/>
      <c r="N29" s="11"/>
      <c r="O29" s="12"/>
    </row>
    <row r="30" spans="1:15" s="5" customFormat="1" ht="15.75" x14ac:dyDescent="0.25">
      <c r="A30" s="67" t="s">
        <v>10</v>
      </c>
      <c r="B30" s="68"/>
      <c r="C30" s="68"/>
      <c r="D30" s="26"/>
      <c r="E30" s="21" t="s">
        <v>7</v>
      </c>
      <c r="F30" s="21" t="s">
        <v>8</v>
      </c>
      <c r="G30" s="21" t="str">
        <f>IF(ISBLANK(G25),"","C3")</f>
        <v>C3</v>
      </c>
      <c r="H30" s="21" t="str">
        <f>IF(ISBLANK(H25),"","C4")</f>
        <v>C4</v>
      </c>
      <c r="I30" s="21" t="str">
        <f>IF(ISBLANK(I25),"","C5")</f>
        <v>C5</v>
      </c>
      <c r="J30" s="21" t="str">
        <f>IF(ISBLANK(J25),"","C6")</f>
        <v/>
      </c>
      <c r="K30" s="21" t="str">
        <f>IF(ISBLANK(K25),"","C7")</f>
        <v/>
      </c>
      <c r="L30" s="21" t="str">
        <f>IF(ISBLANK(L25),"","C8")</f>
        <v/>
      </c>
      <c r="M30" s="21" t="str">
        <f>IF(ISBLANK(M25),"","C9")</f>
        <v/>
      </c>
      <c r="N30" s="21" t="str">
        <f>IF(ISBLANK(N25),"","C10")</f>
        <v/>
      </c>
      <c r="O30" s="22"/>
    </row>
    <row r="31" spans="1:15" s="4" customFormat="1" ht="17.25" customHeight="1" x14ac:dyDescent="0.25">
      <c r="A31" s="57" t="s">
        <v>11</v>
      </c>
      <c r="B31" s="58"/>
      <c r="C31" s="58"/>
      <c r="D31" s="27"/>
      <c r="E31" s="49">
        <v>10</v>
      </c>
      <c r="F31" s="49">
        <v>15</v>
      </c>
      <c r="G31" s="49">
        <v>20</v>
      </c>
      <c r="H31" s="49">
        <v>11</v>
      </c>
      <c r="I31" s="49">
        <v>8</v>
      </c>
      <c r="J31" s="49"/>
      <c r="K31" s="49"/>
      <c r="L31" s="49"/>
      <c r="M31" s="49"/>
      <c r="N31" s="49"/>
      <c r="O31" s="28"/>
    </row>
    <row r="32" spans="1:15" ht="6.75" customHeight="1" x14ac:dyDescent="0.25">
      <c r="A32" s="24"/>
      <c r="B32" s="25"/>
      <c r="C32" s="2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s="5" customFormat="1" ht="15.75" x14ac:dyDescent="0.25">
      <c r="A33" s="67" t="s">
        <v>12</v>
      </c>
      <c r="B33" s="68"/>
      <c r="C33" s="68"/>
      <c r="D33" s="26"/>
      <c r="E33" s="21" t="s">
        <v>13</v>
      </c>
      <c r="F33" s="21" t="s">
        <v>14</v>
      </c>
      <c r="G33" s="21" t="str">
        <f>IF(ISBLANK(G25),"","K3")</f>
        <v>K3</v>
      </c>
      <c r="H33" s="21" t="str">
        <f>IF(ISBLANK(H25),"","K4")</f>
        <v>K4</v>
      </c>
      <c r="I33" s="21" t="str">
        <f>IF(ISBLANK(I25),"","K5")</f>
        <v>K5</v>
      </c>
      <c r="J33" s="21" t="str">
        <f>IF(ISBLANK(J25),"","K6")</f>
        <v/>
      </c>
      <c r="K33" s="21" t="str">
        <f>IF(ISBLANK(K25),"","K7")</f>
        <v/>
      </c>
      <c r="L33" s="21" t="str">
        <f>IF(ISBLANK(L25),"","K8")</f>
        <v/>
      </c>
      <c r="M33" s="21" t="str">
        <f>IF(ISBLANK(M25),"","K9")</f>
        <v/>
      </c>
      <c r="N33" s="21" t="str">
        <f>IF(ISBLANK(N25),"","K10")</f>
        <v/>
      </c>
      <c r="O33" s="22"/>
    </row>
    <row r="34" spans="1:15" x14ac:dyDescent="0.25">
      <c r="A34" s="69" t="s">
        <v>15</v>
      </c>
      <c r="B34" s="70"/>
      <c r="C34" s="70"/>
      <c r="D34" s="11"/>
      <c r="E34" s="50">
        <v>2.5000000000000001E-4</v>
      </c>
      <c r="F34" s="50">
        <v>2.5000000000000001E-4</v>
      </c>
      <c r="G34" s="50">
        <v>2.5000000000000001E-4</v>
      </c>
      <c r="H34" s="50">
        <v>2.5000000000000001E-4</v>
      </c>
      <c r="I34" s="50">
        <v>2.5000000000000001E-4</v>
      </c>
      <c r="J34" s="50"/>
      <c r="K34" s="50"/>
      <c r="L34" s="50"/>
      <c r="M34" s="50"/>
      <c r="N34" s="50"/>
      <c r="O34" s="12"/>
    </row>
    <row r="35" spans="1:15" ht="3.75" customHeight="1" x14ac:dyDescent="0.25">
      <c r="A35" s="29"/>
      <c r="B35" s="30"/>
      <c r="C35" s="3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s="4" customFormat="1" x14ac:dyDescent="0.25">
      <c r="A36" s="31"/>
      <c r="B36" s="32"/>
      <c r="C36" s="32"/>
      <c r="D36" s="27"/>
      <c r="E36" s="21" t="s">
        <v>16</v>
      </c>
      <c r="F36" s="21" t="s">
        <v>17</v>
      </c>
      <c r="G36" s="21" t="str">
        <f>IF(ISBLANK(G25),"","dh/dl3")</f>
        <v>dh/dl3</v>
      </c>
      <c r="H36" s="21" t="str">
        <f>IF(ISBLANK(H25),"","dh/dl4")</f>
        <v>dh/dl4</v>
      </c>
      <c r="I36" s="21" t="str">
        <f>IF(ISBLANK(I25),"","dh/dl5")</f>
        <v>dh/dl5</v>
      </c>
      <c r="J36" s="21" t="str">
        <f>IF(ISBLANK(J25),"","dh/dl6")</f>
        <v/>
      </c>
      <c r="K36" s="21" t="str">
        <f>IF(ISBLANK(K25),"","dh/dl7")</f>
        <v/>
      </c>
      <c r="L36" s="21" t="str">
        <f>IF(ISBLANK(L25),"","dh/dl8")</f>
        <v/>
      </c>
      <c r="M36" s="21" t="str">
        <f>IF(ISBLANK(M25),"","dh/dl9")</f>
        <v/>
      </c>
      <c r="N36" s="21" t="str">
        <f>IF(ISBLANK(N25),"","dh/dl10")</f>
        <v/>
      </c>
      <c r="O36" s="28"/>
    </row>
    <row r="37" spans="1:15" s="4" customFormat="1" x14ac:dyDescent="0.25">
      <c r="A37" s="69" t="s">
        <v>18</v>
      </c>
      <c r="B37" s="70"/>
      <c r="C37" s="70"/>
      <c r="D37" s="27"/>
      <c r="E37" s="51">
        <v>1E-3</v>
      </c>
      <c r="F37" s="51">
        <v>1E-3</v>
      </c>
      <c r="G37" s="51">
        <v>1E-3</v>
      </c>
      <c r="H37" s="51">
        <v>1E-3</v>
      </c>
      <c r="I37" s="51">
        <v>1E-3</v>
      </c>
      <c r="J37" s="51"/>
      <c r="K37" s="51"/>
      <c r="L37" s="51"/>
      <c r="M37" s="51"/>
      <c r="N37" s="51"/>
      <c r="O37" s="28"/>
    </row>
    <row r="38" spans="1:15" s="4" customFormat="1" ht="4.5" customHeight="1" x14ac:dyDescent="0.25">
      <c r="A38" s="31"/>
      <c r="B38" s="32"/>
      <c r="C38" s="3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1:15" s="6" customFormat="1" ht="15.75" customHeight="1" x14ac:dyDescent="0.25">
      <c r="A39" s="33"/>
      <c r="B39" s="34"/>
      <c r="C39" s="34"/>
      <c r="D39" s="35"/>
      <c r="E39" s="21" t="s">
        <v>20</v>
      </c>
      <c r="F39" s="21" t="s">
        <v>21</v>
      </c>
      <c r="G39" s="21" t="str">
        <f>IF(ISBLANK(G25),"","ηe3")</f>
        <v>ηe3</v>
      </c>
      <c r="H39" s="21" t="str">
        <f>IF(ISBLANK(H25),"","ηe4")</f>
        <v>ηe4</v>
      </c>
      <c r="I39" s="21" t="str">
        <f>IF(ISBLANK(I25),"","ηe5")</f>
        <v>ηe5</v>
      </c>
      <c r="J39" s="21" t="str">
        <f>IF(ISBLANK(J25),"","ηe6")</f>
        <v/>
      </c>
      <c r="K39" s="21" t="str">
        <f>IF(ISBLANK(K25),"","ηe7")</f>
        <v/>
      </c>
      <c r="L39" s="21" t="str">
        <f>IF(ISBLANK(L25),"","ηe8")</f>
        <v/>
      </c>
      <c r="M39" s="21" t="str">
        <f>IF(ISBLANK(M25),"","ηe9")</f>
        <v/>
      </c>
      <c r="N39" s="21" t="str">
        <f>IF(ISBLANK(N25),"","ηe10")</f>
        <v/>
      </c>
      <c r="O39" s="36"/>
    </row>
    <row r="40" spans="1:15" s="4" customFormat="1" x14ac:dyDescent="0.25">
      <c r="A40" s="69" t="s">
        <v>19</v>
      </c>
      <c r="B40" s="70"/>
      <c r="C40" s="70"/>
      <c r="D40" s="27"/>
      <c r="E40" s="53">
        <v>0.33</v>
      </c>
      <c r="F40" s="53">
        <v>0.33</v>
      </c>
      <c r="G40" s="53">
        <v>0.33</v>
      </c>
      <c r="H40" s="53">
        <v>0.33</v>
      </c>
      <c r="I40" s="53">
        <v>0.33</v>
      </c>
      <c r="J40" s="53"/>
      <c r="K40" s="53"/>
      <c r="L40" s="53"/>
      <c r="M40" s="53"/>
      <c r="N40" s="53"/>
      <c r="O40" s="28"/>
    </row>
    <row r="41" spans="1:15" s="4" customFormat="1" ht="4.5" customHeight="1" x14ac:dyDescent="0.25">
      <c r="A41" s="31"/>
      <c r="B41" s="32"/>
      <c r="C41" s="3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</row>
    <row r="42" spans="1:15" s="4" customFormat="1" x14ac:dyDescent="0.25">
      <c r="A42" s="31"/>
      <c r="B42" s="32"/>
      <c r="C42" s="32"/>
      <c r="D42" s="27"/>
      <c r="E42" s="21" t="s">
        <v>22</v>
      </c>
      <c r="F42" s="21" t="s">
        <v>23</v>
      </c>
      <c r="G42" s="21" t="str">
        <f>IF(ISBLANK(G25),"","b3")</f>
        <v>b3</v>
      </c>
      <c r="H42" s="21" t="str">
        <f>IF(ISBLANK(H25),"","b4")</f>
        <v>b4</v>
      </c>
      <c r="I42" s="21" t="str">
        <f>IF(ISBLANK(I25),"","b5")</f>
        <v>b5</v>
      </c>
      <c r="J42" s="21" t="str">
        <f>IF(ISBLANK(J25),"","b6")</f>
        <v/>
      </c>
      <c r="K42" s="21" t="str">
        <f>IF(ISBLANK(K25),"","b7")</f>
        <v/>
      </c>
      <c r="L42" s="21" t="str">
        <f>IF(ISBLANK(L25),"","b8")</f>
        <v/>
      </c>
      <c r="M42" s="21" t="str">
        <f>IF(ISBLANK(M25),"","b9")</f>
        <v/>
      </c>
      <c r="N42" s="21" t="str">
        <f>IF(ISBLANK(N25),"","b10")</f>
        <v/>
      </c>
      <c r="O42" s="28"/>
    </row>
    <row r="43" spans="1:15" s="4" customFormat="1" ht="18" customHeight="1" x14ac:dyDescent="0.25">
      <c r="A43" s="57" t="s">
        <v>24</v>
      </c>
      <c r="B43" s="58"/>
      <c r="C43" s="58"/>
      <c r="D43" s="27"/>
      <c r="E43" s="52">
        <v>5</v>
      </c>
      <c r="F43" s="52">
        <v>5</v>
      </c>
      <c r="G43" s="52">
        <v>5</v>
      </c>
      <c r="H43" s="52">
        <v>5</v>
      </c>
      <c r="I43" s="52">
        <v>5</v>
      </c>
      <c r="J43" s="52"/>
      <c r="K43" s="52"/>
      <c r="L43" s="52"/>
      <c r="M43" s="52"/>
      <c r="N43" s="52"/>
      <c r="O43" s="28"/>
    </row>
    <row r="44" spans="1:15" s="4" customFormat="1" x14ac:dyDescent="0.25">
      <c r="A44" s="3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</row>
    <row r="45" spans="1:15" s="4" customFormat="1" ht="19.5" customHeight="1" x14ac:dyDescent="0.25">
      <c r="A45" s="37"/>
      <c r="B45" s="27"/>
      <c r="C45" s="27"/>
      <c r="D45" s="27"/>
      <c r="E45" s="54">
        <f>(D28+E28/2)*E31*E34*E37*E40*E43*0.9292</f>
        <v>2.1081225000000003E-4</v>
      </c>
      <c r="F45" s="54">
        <f>(E28+F28)/2*F31*F34*F37*F40*F43*0.9292</f>
        <v>3.5933906250000004E-4</v>
      </c>
      <c r="G45" s="54">
        <f t="shared" ref="G45:N45" si="0">IF(ISBLANK(H25),(F28/2+G28)*G31*G34*G37*G40*G43*0.9292,(F28+G28)/2*G31*G34*G37*G40*G43*0.9292)</f>
        <v>3.6413025000000003E-4</v>
      </c>
      <c r="H45" s="54">
        <f t="shared" si="0"/>
        <v>1.8973102500000004E-4</v>
      </c>
      <c r="I45" s="54">
        <f t="shared" si="0"/>
        <v>1.2265440000000001E-4</v>
      </c>
      <c r="J45" s="54">
        <f t="shared" si="0"/>
        <v>0</v>
      </c>
      <c r="K45" s="54">
        <f t="shared" si="0"/>
        <v>0</v>
      </c>
      <c r="L45" s="54">
        <f t="shared" si="0"/>
        <v>0</v>
      </c>
      <c r="M45" s="54">
        <f t="shared" si="0"/>
        <v>0</v>
      </c>
      <c r="N45" s="54">
        <f t="shared" si="0"/>
        <v>0</v>
      </c>
      <c r="O45" s="28"/>
    </row>
    <row r="46" spans="1:15" s="4" customFormat="1" ht="7.5" customHeight="1" x14ac:dyDescent="0.25">
      <c r="A46" s="3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</row>
    <row r="47" spans="1:15" s="5" customFormat="1" ht="19.5" customHeight="1" x14ac:dyDescent="0.25">
      <c r="A47" s="38"/>
      <c r="B47" s="26"/>
      <c r="C47" s="26"/>
      <c r="D47" s="26"/>
      <c r="E47" s="42">
        <f>(D28+E28/2)*E34*E37*E40*E43*0.0328</f>
        <v>7.4415000000000011E-7</v>
      </c>
      <c r="F47" s="42">
        <f>(E28+F28)/2*F34*F37*F40*F43*0.0328</f>
        <v>8.4562500000000006E-7</v>
      </c>
      <c r="G47" s="42">
        <f>IF(ISBLANK(H25),(F28/2+G28)*G34*G37*G40*G43*0.0328,(F28+G28)/2*G34*G37*G40*G43*0.0328)</f>
        <v>6.4267500000000016E-7</v>
      </c>
      <c r="H47" s="42">
        <f t="shared" ref="H47:N47" si="1">IF(ISBLANK(I25),(G28/2+H28)*H34*H37*H40*H43*0.0328,(G28+H28)/2*H34*H37*H40*H43*0.0328)</f>
        <v>6.0885000000000011E-7</v>
      </c>
      <c r="I47" s="42">
        <f t="shared" si="1"/>
        <v>5.4120000000000011E-7</v>
      </c>
      <c r="J47" s="42">
        <f t="shared" si="1"/>
        <v>0</v>
      </c>
      <c r="K47" s="42">
        <f t="shared" si="1"/>
        <v>0</v>
      </c>
      <c r="L47" s="42">
        <f t="shared" si="1"/>
        <v>0</v>
      </c>
      <c r="M47" s="42">
        <f t="shared" si="1"/>
        <v>0</v>
      </c>
      <c r="N47" s="42">
        <f t="shared" si="1"/>
        <v>0</v>
      </c>
      <c r="O47" s="22"/>
    </row>
    <row r="48" spans="1:15" s="4" customFormat="1" x14ac:dyDescent="0.25">
      <c r="A48" s="3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s="4" customFormat="1" ht="15.75" thickBot="1" x14ac:dyDescent="0.3">
      <c r="A49" s="3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  <row r="50" spans="1:15" s="4" customFormat="1" ht="21" customHeight="1" x14ac:dyDescent="0.25">
      <c r="A50" s="37"/>
      <c r="B50" s="27"/>
      <c r="C50" s="27"/>
      <c r="D50" s="27"/>
      <c r="E50" s="27"/>
      <c r="F50" s="43">
        <f>SUM(E45:N45)</f>
        <v>1.2466669875000002E-3</v>
      </c>
      <c r="G50" s="27"/>
      <c r="H50" s="60">
        <f>F50/F51*0.03532</f>
        <v>13.01767272682927</v>
      </c>
      <c r="I50" s="27"/>
      <c r="J50" s="27"/>
      <c r="K50" s="27"/>
      <c r="L50" s="27"/>
      <c r="M50" s="27"/>
      <c r="N50" s="27"/>
      <c r="O50" s="28"/>
    </row>
    <row r="51" spans="1:15" s="4" customFormat="1" ht="21" customHeight="1" thickBot="1" x14ac:dyDescent="0.3">
      <c r="A51" s="37"/>
      <c r="B51" s="27"/>
      <c r="C51" s="27"/>
      <c r="D51" s="27"/>
      <c r="E51" s="27"/>
      <c r="F51" s="44">
        <f>SUM(E47:N47)</f>
        <v>3.3825000000000002E-6</v>
      </c>
      <c r="G51" s="27"/>
      <c r="H51" s="61"/>
      <c r="I51" s="27"/>
      <c r="J51" s="27"/>
      <c r="K51" s="27"/>
      <c r="L51" s="27"/>
      <c r="M51" s="27"/>
      <c r="N51" s="27"/>
      <c r="O51" s="28"/>
    </row>
    <row r="52" spans="1:15" s="4" customFormat="1" ht="15.7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</row>
    <row r="53" spans="1:15" s="4" customFormat="1" x14ac:dyDescent="0.25"/>
    <row r="54" spans="1:15" s="4" customFormat="1" x14ac:dyDescent="0.25"/>
    <row r="55" spans="1:15" s="4" customFormat="1" x14ac:dyDescent="0.25"/>
    <row r="56" spans="1:15" s="4" customFormat="1" x14ac:dyDescent="0.25"/>
    <row r="57" spans="1:15" s="4" customFormat="1" x14ac:dyDescent="0.25"/>
    <row r="58" spans="1:15" s="4" customFormat="1" x14ac:dyDescent="0.25"/>
    <row r="59" spans="1:15" s="4" customFormat="1" x14ac:dyDescent="0.25"/>
    <row r="60" spans="1:15" s="4" customFormat="1" x14ac:dyDescent="0.25"/>
    <row r="61" spans="1:15" s="4" customFormat="1" x14ac:dyDescent="0.25"/>
    <row r="62" spans="1:15" s="4" customFormat="1" x14ac:dyDescent="0.25"/>
    <row r="63" spans="1:15" s="4" customFormat="1" x14ac:dyDescent="0.25"/>
    <row r="64" spans="1:15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</sheetData>
  <sheetProtection password="CC63" sheet="1" objects="1" scenarios="1" selectLockedCells="1"/>
  <mergeCells count="22">
    <mergeCell ref="A25:C25"/>
    <mergeCell ref="A28:C28"/>
    <mergeCell ref="A31:C31"/>
    <mergeCell ref="A24:C24"/>
    <mergeCell ref="A27:C27"/>
    <mergeCell ref="A30:C30"/>
    <mergeCell ref="A43:C43"/>
    <mergeCell ref="F22:I22"/>
    <mergeCell ref="H50:H51"/>
    <mergeCell ref="B2:L3"/>
    <mergeCell ref="G5:J5"/>
    <mergeCell ref="G6:L6"/>
    <mergeCell ref="G8:N9"/>
    <mergeCell ref="G11:N11"/>
    <mergeCell ref="G10:N10"/>
    <mergeCell ref="G14:J14"/>
    <mergeCell ref="K14:L14"/>
    <mergeCell ref="G12:M12"/>
    <mergeCell ref="A33:C33"/>
    <mergeCell ref="A34:C34"/>
    <mergeCell ref="A37:C37"/>
    <mergeCell ref="A40:C40"/>
  </mergeCells>
  <pageMargins left="0.22" right="0.23" top="0.75" bottom="0.75" header="0.3" footer="0.3"/>
  <pageSetup scale="56" orientation="landscape" r:id="rId1"/>
  <cellWatches>
    <cellWatch r="H50"/>
  </cellWatche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6</xdr:col>
                <xdr:colOff>847725</xdr:colOff>
                <xdr:row>15</xdr:row>
                <xdr:rowOff>76200</xdr:rowOff>
              </from>
              <to>
                <xdr:col>12</xdr:col>
                <xdr:colOff>942975</xdr:colOff>
                <xdr:row>20</xdr:row>
                <xdr:rowOff>133350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>
              <from>
                <xdr:col>3</xdr:col>
                <xdr:colOff>38100</xdr:colOff>
                <xdr:row>43</xdr:row>
                <xdr:rowOff>171450</xdr:rowOff>
              </from>
              <to>
                <xdr:col>3</xdr:col>
                <xdr:colOff>647700</xdr:colOff>
                <xdr:row>45</xdr:row>
                <xdr:rowOff>28575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>
              <from>
                <xdr:col>3</xdr:col>
                <xdr:colOff>104775</xdr:colOff>
                <xdr:row>45</xdr:row>
                <xdr:rowOff>85725</xdr:rowOff>
              </from>
              <to>
                <xdr:col>3</xdr:col>
                <xdr:colOff>638175</xdr:colOff>
                <xdr:row>47</xdr:row>
                <xdr:rowOff>66675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>
              <from>
                <xdr:col>3</xdr:col>
                <xdr:colOff>638175</xdr:colOff>
                <xdr:row>48</xdr:row>
                <xdr:rowOff>123825</xdr:rowOff>
              </from>
              <to>
                <xdr:col>4</xdr:col>
                <xdr:colOff>923925</xdr:colOff>
                <xdr:row>51</xdr:row>
                <xdr:rowOff>76200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2">
          <objectPr defaultSize="0" autoPict="0" r:id="rId13">
            <anchor moveWithCells="1">
              <from>
                <xdr:col>6</xdr:col>
                <xdr:colOff>266700</xdr:colOff>
                <xdr:row>49</xdr:row>
                <xdr:rowOff>9525</xdr:rowOff>
              </from>
              <to>
                <xdr:col>6</xdr:col>
                <xdr:colOff>1000125</xdr:colOff>
                <xdr:row>50</xdr:row>
                <xdr:rowOff>238125</xdr:rowOff>
              </to>
            </anchor>
          </objectPr>
        </oleObject>
      </mc:Choice>
      <mc:Fallback>
        <oleObject progId="Equation.3" shapeId="1030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