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etney\Desktop\"/>
    </mc:Choice>
  </mc:AlternateContent>
  <xr:revisionPtr revIDLastSave="0" documentId="13_ncr:1_{65EC7827-EBC1-4A7E-B0CB-53FAE2034251}" xr6:coauthVersionLast="47" xr6:coauthVersionMax="47" xr10:uidLastSave="{00000000-0000-0000-0000-000000000000}"/>
  <workbookProtection workbookPassword="C460" lockStructure="1"/>
  <bookViews>
    <workbookView xWindow="-120" yWindow="-120" windowWidth="20730" windowHeight="11160" xr2:uid="{54F68414-57EB-4A56-AE5C-375FC338113F}"/>
  </bookViews>
  <sheets>
    <sheet name="2026 Noncarcinogens" sheetId="3" r:id="rId1"/>
    <sheet name="2026 Carcinogens" sheetId="2" r:id="rId2"/>
    <sheet name="BCF BAF Info" sheetId="6" r:id="rId3"/>
    <sheet name="EPA BAFs June 2015" sheetId="9" r:id="rId4"/>
    <sheet name="geomean for BCFs" sheetId="4" r:id="rId5"/>
    <sheet name="References" sheetId="10" r:id="rId6"/>
  </sheets>
  <definedNames>
    <definedName name="_xlnm.Print_Titles" localSheetId="1">'2026 Carcinogens'!$2:$2</definedName>
    <definedName name="_xlnm.Print_Titles" localSheetId="0">'2026 Noncarcinogens'!#REF!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9" l="1"/>
  <c r="I33" i="9"/>
  <c r="F33" i="9"/>
  <c r="D33" i="9"/>
  <c r="X39" i="2"/>
  <c r="X40" i="2"/>
  <c r="W39" i="2"/>
  <c r="W40" i="2"/>
  <c r="W7" i="2"/>
  <c r="X7" i="2"/>
  <c r="I38" i="2"/>
  <c r="T38" i="2"/>
  <c r="M18" i="3"/>
  <c r="M7" i="3"/>
  <c r="J7" i="3"/>
  <c r="I13" i="2"/>
  <c r="T13" i="2" s="1"/>
  <c r="I14" i="2"/>
  <c r="Q14" i="2" s="1"/>
  <c r="U14" i="2" s="1"/>
  <c r="I21" i="2"/>
  <c r="Q21" i="2" s="1"/>
  <c r="I24" i="2"/>
  <c r="Q24" i="2" s="1"/>
  <c r="I26" i="2"/>
  <c r="Q26" i="2" s="1"/>
  <c r="I37" i="2"/>
  <c r="T37" i="2" s="1"/>
  <c r="I41" i="2"/>
  <c r="Q41" i="2" s="1"/>
  <c r="U41" i="2" s="1"/>
  <c r="I42" i="2"/>
  <c r="Q42" i="2" s="1"/>
  <c r="I43" i="2"/>
  <c r="Q43" i="2" s="1"/>
  <c r="I44" i="2"/>
  <c r="T44" i="2"/>
  <c r="I48" i="2"/>
  <c r="Q48" i="2"/>
  <c r="X3" i="2"/>
  <c r="X4" i="2"/>
  <c r="X5" i="2"/>
  <c r="X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41" i="2"/>
  <c r="X42" i="2"/>
  <c r="X43" i="2"/>
  <c r="X44" i="2"/>
  <c r="X45" i="2"/>
  <c r="X46" i="2"/>
  <c r="X47" i="2"/>
  <c r="X48" i="2"/>
  <c r="X2" i="2"/>
  <c r="W3" i="2"/>
  <c r="W4" i="2"/>
  <c r="W5" i="2"/>
  <c r="W6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41" i="2"/>
  <c r="W42" i="2"/>
  <c r="W43" i="2"/>
  <c r="W44" i="2"/>
  <c r="W45" i="2"/>
  <c r="W46" i="2"/>
  <c r="W47" i="2"/>
  <c r="W48" i="2"/>
  <c r="W2" i="2"/>
  <c r="M3" i="3"/>
  <c r="M4" i="3"/>
  <c r="M5" i="3"/>
  <c r="M6" i="3"/>
  <c r="M8" i="3"/>
  <c r="M9" i="3"/>
  <c r="M10" i="3"/>
  <c r="M11" i="3"/>
  <c r="M12" i="3"/>
  <c r="M13" i="3"/>
  <c r="M14" i="3"/>
  <c r="M15" i="3"/>
  <c r="M16" i="3"/>
  <c r="M17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2" i="3"/>
  <c r="J4" i="3"/>
  <c r="J5" i="3"/>
  <c r="J6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" i="3"/>
  <c r="J2" i="3"/>
  <c r="H28" i="9"/>
  <c r="F28" i="9"/>
  <c r="D28" i="9"/>
  <c r="I28" i="9" s="1"/>
  <c r="H11" i="9"/>
  <c r="F11" i="9"/>
  <c r="D11" i="9"/>
  <c r="I11" i="9" s="1"/>
  <c r="H10" i="9"/>
  <c r="F10" i="9"/>
  <c r="D10" i="9"/>
  <c r="L4" i="9"/>
  <c r="D3" i="9"/>
  <c r="I3" i="9" s="1"/>
  <c r="H4" i="9"/>
  <c r="H5" i="9"/>
  <c r="H6" i="9"/>
  <c r="I6" i="9" s="1"/>
  <c r="H7" i="9"/>
  <c r="H8" i="9"/>
  <c r="H9" i="9"/>
  <c r="H12" i="9"/>
  <c r="H13" i="9"/>
  <c r="H14" i="9"/>
  <c r="H15" i="9"/>
  <c r="H16" i="9"/>
  <c r="H17" i="9"/>
  <c r="H18" i="9"/>
  <c r="H19" i="9"/>
  <c r="H20" i="9"/>
  <c r="I20" i="9" s="1"/>
  <c r="H21" i="9"/>
  <c r="H22" i="9"/>
  <c r="H23" i="9"/>
  <c r="H24" i="9"/>
  <c r="H25" i="9"/>
  <c r="H26" i="9"/>
  <c r="H27" i="9"/>
  <c r="H29" i="9"/>
  <c r="H30" i="9"/>
  <c r="H31" i="9"/>
  <c r="H32" i="9"/>
  <c r="H34" i="9"/>
  <c r="H35" i="9"/>
  <c r="H36" i="9"/>
  <c r="H37" i="9"/>
  <c r="H38" i="9"/>
  <c r="H39" i="9"/>
  <c r="I39" i="9" s="1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3" i="9"/>
  <c r="H2" i="9"/>
  <c r="F4" i="9"/>
  <c r="F5" i="9"/>
  <c r="F6" i="9"/>
  <c r="F7" i="9"/>
  <c r="F8" i="9"/>
  <c r="F9" i="9"/>
  <c r="F12" i="9"/>
  <c r="F13" i="9"/>
  <c r="F14" i="9"/>
  <c r="I14" i="9" s="1"/>
  <c r="F15" i="9"/>
  <c r="F16" i="9"/>
  <c r="F17" i="9"/>
  <c r="F18" i="9"/>
  <c r="F19" i="9"/>
  <c r="F20" i="9"/>
  <c r="F21" i="9"/>
  <c r="F22" i="9"/>
  <c r="F23" i="9"/>
  <c r="F24" i="9"/>
  <c r="I24" i="9"/>
  <c r="F25" i="9"/>
  <c r="F26" i="9"/>
  <c r="F27" i="9"/>
  <c r="F29" i="9"/>
  <c r="F30" i="9"/>
  <c r="F31" i="9"/>
  <c r="F32" i="9"/>
  <c r="F34" i="9"/>
  <c r="I34" i="9" s="1"/>
  <c r="F35" i="9"/>
  <c r="F36" i="9"/>
  <c r="I36" i="9"/>
  <c r="F37" i="9"/>
  <c r="I37" i="9" s="1"/>
  <c r="F38" i="9"/>
  <c r="F39" i="9"/>
  <c r="F40" i="9"/>
  <c r="F41" i="9"/>
  <c r="F42" i="9"/>
  <c r="F43" i="9"/>
  <c r="F44" i="9"/>
  <c r="F45" i="9"/>
  <c r="F46" i="9"/>
  <c r="F47" i="9"/>
  <c r="F48" i="9"/>
  <c r="I48" i="9"/>
  <c r="F49" i="9"/>
  <c r="F50" i="9"/>
  <c r="I50" i="9"/>
  <c r="F51" i="9"/>
  <c r="F52" i="9"/>
  <c r="F3" i="9"/>
  <c r="F2" i="9"/>
  <c r="D4" i="9"/>
  <c r="I4" i="9" s="1"/>
  <c r="D5" i="9"/>
  <c r="I5" i="9" s="1"/>
  <c r="D6" i="9"/>
  <c r="D7" i="9"/>
  <c r="I7" i="9" s="1"/>
  <c r="D8" i="9"/>
  <c r="I8" i="9" s="1"/>
  <c r="D9" i="9"/>
  <c r="I9" i="9" s="1"/>
  <c r="D12" i="9"/>
  <c r="I12" i="9" s="1"/>
  <c r="D13" i="9"/>
  <c r="I13" i="9" s="1"/>
  <c r="D14" i="9"/>
  <c r="D15" i="9"/>
  <c r="I15" i="9" s="1"/>
  <c r="D16" i="9"/>
  <c r="D17" i="9"/>
  <c r="D18" i="9"/>
  <c r="D19" i="9"/>
  <c r="I19" i="9" s="1"/>
  <c r="D20" i="9"/>
  <c r="D21" i="9"/>
  <c r="I21" i="9" s="1"/>
  <c r="D22" i="9"/>
  <c r="I22" i="9" s="1"/>
  <c r="D23" i="9"/>
  <c r="D24" i="9"/>
  <c r="D25" i="9"/>
  <c r="D26" i="9"/>
  <c r="I26" i="9"/>
  <c r="D27" i="9"/>
  <c r="I27" i="9"/>
  <c r="D29" i="9"/>
  <c r="I29" i="9" s="1"/>
  <c r="D30" i="9"/>
  <c r="D31" i="9"/>
  <c r="I31" i="9" s="1"/>
  <c r="D32" i="9"/>
  <c r="I32" i="9"/>
  <c r="D34" i="9"/>
  <c r="D35" i="9"/>
  <c r="I35" i="9"/>
  <c r="D36" i="9"/>
  <c r="D37" i="9"/>
  <c r="D38" i="9"/>
  <c r="I38" i="9"/>
  <c r="D39" i="9"/>
  <c r="D40" i="9"/>
  <c r="I40" i="9"/>
  <c r="D41" i="9"/>
  <c r="I41" i="9" s="1"/>
  <c r="D42" i="9"/>
  <c r="D43" i="9"/>
  <c r="D44" i="9"/>
  <c r="D45" i="9"/>
  <c r="D46" i="9"/>
  <c r="I46" i="9"/>
  <c r="D47" i="9"/>
  <c r="I47" i="9" s="1"/>
  <c r="D48" i="9"/>
  <c r="D49" i="9"/>
  <c r="D50" i="9"/>
  <c r="D51" i="9"/>
  <c r="D52" i="9"/>
  <c r="I52" i="9"/>
  <c r="D2" i="9"/>
  <c r="I2" i="9" s="1"/>
  <c r="G30" i="2"/>
  <c r="H30" i="2"/>
  <c r="I30" i="2" s="1"/>
  <c r="G38" i="2"/>
  <c r="H27" i="4"/>
  <c r="H61" i="4"/>
  <c r="H50" i="4"/>
  <c r="H33" i="4"/>
  <c r="H4" i="4"/>
  <c r="H41" i="4"/>
  <c r="H22" i="2"/>
  <c r="I22" i="2"/>
  <c r="T22" i="2" s="1"/>
  <c r="G14" i="2"/>
  <c r="G21" i="2"/>
  <c r="G48" i="2"/>
  <c r="G47" i="2"/>
  <c r="H47" i="2"/>
  <c r="I47" i="2"/>
  <c r="T47" i="2" s="1"/>
  <c r="G46" i="2"/>
  <c r="H46" i="2"/>
  <c r="I46" i="2"/>
  <c r="T46" i="2" s="1"/>
  <c r="G45" i="2"/>
  <c r="H45" i="2"/>
  <c r="I45" i="2"/>
  <c r="Q45" i="2" s="1"/>
  <c r="U45" i="2" s="1"/>
  <c r="G44" i="2"/>
  <c r="G43" i="2"/>
  <c r="G42" i="2"/>
  <c r="G40" i="2"/>
  <c r="H40" i="2"/>
  <c r="I40" i="2"/>
  <c r="Q40" i="2" s="1"/>
  <c r="G39" i="2"/>
  <c r="H39" i="2"/>
  <c r="I39" i="2"/>
  <c r="G37" i="2"/>
  <c r="G36" i="2"/>
  <c r="H36" i="2"/>
  <c r="I36" i="2"/>
  <c r="G35" i="2"/>
  <c r="H35" i="2"/>
  <c r="I35" i="2"/>
  <c r="Q35" i="2" s="1"/>
  <c r="G34" i="2"/>
  <c r="H34" i="2"/>
  <c r="I34" i="2" s="1"/>
  <c r="G33" i="2"/>
  <c r="H33" i="2"/>
  <c r="I33" i="2"/>
  <c r="T33" i="2" s="1"/>
  <c r="G32" i="2"/>
  <c r="H32" i="2"/>
  <c r="I32" i="2"/>
  <c r="T32" i="2" s="1"/>
  <c r="G31" i="2"/>
  <c r="H31" i="2" s="1"/>
  <c r="I31" i="2" s="1"/>
  <c r="G29" i="2"/>
  <c r="H29" i="2"/>
  <c r="I29" i="2"/>
  <c r="Q29" i="2" s="1"/>
  <c r="U29" i="2" s="1"/>
  <c r="G28" i="2"/>
  <c r="H28" i="2"/>
  <c r="I28" i="2"/>
  <c r="Q28" i="2" s="1"/>
  <c r="U28" i="2" s="1"/>
  <c r="G27" i="2"/>
  <c r="H27" i="2"/>
  <c r="I27" i="2"/>
  <c r="G26" i="2"/>
  <c r="G25" i="2"/>
  <c r="I25" i="2"/>
  <c r="T25" i="2" s="1"/>
  <c r="Q25" i="2"/>
  <c r="G24" i="2"/>
  <c r="G23" i="2"/>
  <c r="H23" i="2"/>
  <c r="I23" i="2"/>
  <c r="Q23" i="2" s="1"/>
  <c r="G20" i="2"/>
  <c r="H20" i="2"/>
  <c r="I20" i="2"/>
  <c r="Q20" i="2" s="1"/>
  <c r="G19" i="2"/>
  <c r="H19" i="2"/>
  <c r="I19" i="2" s="1"/>
  <c r="G18" i="2"/>
  <c r="H18" i="2"/>
  <c r="I18" i="2"/>
  <c r="T18" i="2" s="1"/>
  <c r="G17" i="2"/>
  <c r="H17" i="2"/>
  <c r="I17" i="2"/>
  <c r="T17" i="2" s="1"/>
  <c r="G16" i="2"/>
  <c r="H16" i="2" s="1"/>
  <c r="I16" i="2" s="1"/>
  <c r="G15" i="2"/>
  <c r="H15" i="2"/>
  <c r="I15" i="2"/>
  <c r="G13" i="2"/>
  <c r="G12" i="2"/>
  <c r="H12" i="2"/>
  <c r="I12" i="2" s="1"/>
  <c r="G11" i="2"/>
  <c r="H11" i="2"/>
  <c r="I11" i="2"/>
  <c r="G10" i="2"/>
  <c r="H10" i="2"/>
  <c r="I10" i="2"/>
  <c r="G9" i="2"/>
  <c r="H9" i="2" s="1"/>
  <c r="I9" i="2" s="1"/>
  <c r="H8" i="2"/>
  <c r="I8" i="2"/>
  <c r="G7" i="2"/>
  <c r="H7" i="2"/>
  <c r="I7" i="2"/>
  <c r="Q7" i="2" s="1"/>
  <c r="G6" i="2"/>
  <c r="H6" i="2" s="1"/>
  <c r="I6" i="2" s="1"/>
  <c r="G5" i="2"/>
  <c r="H5" i="2"/>
  <c r="I5" i="2"/>
  <c r="T5" i="2" s="1"/>
  <c r="G4" i="2"/>
  <c r="H4" i="2"/>
  <c r="I4" i="2"/>
  <c r="T4" i="2" s="1"/>
  <c r="G3" i="2"/>
  <c r="H3" i="2"/>
  <c r="I3" i="2"/>
  <c r="T3" i="2" s="1"/>
  <c r="G2" i="2"/>
  <c r="H2" i="2"/>
  <c r="I2" i="2"/>
  <c r="G41" i="2"/>
  <c r="I49" i="9"/>
  <c r="I42" i="9"/>
  <c r="I16" i="9"/>
  <c r="I43" i="9"/>
  <c r="I17" i="9"/>
  <c r="I45" i="9"/>
  <c r="I10" i="9"/>
  <c r="I51" i="9"/>
  <c r="I44" i="9"/>
  <c r="I25" i="9"/>
  <c r="I18" i="9"/>
  <c r="I23" i="9"/>
  <c r="I30" i="9"/>
  <c r="T26" i="2"/>
  <c r="T24" i="2"/>
  <c r="T43" i="2"/>
  <c r="T14" i="2"/>
  <c r="T42" i="2"/>
  <c r="Q13" i="2"/>
  <c r="T8" i="2"/>
  <c r="Q8" i="2"/>
  <c r="T2" i="2"/>
  <c r="Q2" i="2"/>
  <c r="T27" i="2"/>
  <c r="Q27" i="2"/>
  <c r="U27" i="2"/>
  <c r="T40" i="2"/>
  <c r="T23" i="2"/>
  <c r="Q15" i="2"/>
  <c r="T15" i="2"/>
  <c r="Q4" i="2"/>
  <c r="Q36" i="2"/>
  <c r="T36" i="2"/>
  <c r="Q10" i="2"/>
  <c r="T10" i="2"/>
  <c r="T11" i="2"/>
  <c r="Q11" i="2"/>
  <c r="Q18" i="2"/>
  <c r="U18" i="2"/>
  <c r="Q3" i="2"/>
  <c r="U3" i="2"/>
  <c r="Q22" i="2"/>
  <c r="Q39" i="2"/>
  <c r="T39" i="2"/>
  <c r="T45" i="2"/>
  <c r="Q33" i="2"/>
  <c r="U33" i="2"/>
  <c r="Q37" i="2"/>
  <c r="T48" i="2"/>
  <c r="T41" i="2"/>
  <c r="T21" i="2"/>
  <c r="Q44" i="2"/>
  <c r="T30" i="2" l="1"/>
  <c r="Q30" i="2"/>
  <c r="Q34" i="2"/>
  <c r="T34" i="2"/>
  <c r="Q9" i="2"/>
  <c r="T9" i="2"/>
  <c r="T6" i="2"/>
  <c r="Q6" i="2"/>
  <c r="T31" i="2"/>
  <c r="Q31" i="2"/>
  <c r="U31" i="2" s="1"/>
  <c r="T19" i="2"/>
  <c r="Q19" i="2"/>
  <c r="T12" i="2"/>
  <c r="Q12" i="2"/>
  <c r="T16" i="2"/>
  <c r="Q16" i="2"/>
  <c r="U16" i="2" s="1"/>
  <c r="Q32" i="2"/>
  <c r="U32" i="2" s="1"/>
  <c r="T35" i="2"/>
  <c r="Q5" i="2"/>
  <c r="T20" i="2"/>
  <c r="Q47" i="2"/>
  <c r="T7" i="2"/>
  <c r="Q17" i="2"/>
  <c r="U17" i="2" s="1"/>
  <c r="T29" i="2"/>
  <c r="T28" i="2"/>
  <c r="Q46" i="2"/>
</calcChain>
</file>

<file path=xl/sharedStrings.xml><?xml version="1.0" encoding="utf-8"?>
<sst xmlns="http://schemas.openxmlformats.org/spreadsheetml/2006/main" count="670" uniqueCount="337">
  <si>
    <t>2,4,5,-Trichlorophenol</t>
  </si>
  <si>
    <t>2,4-D</t>
  </si>
  <si>
    <t>2/3 to 3/4</t>
  </si>
  <si>
    <t>Benzo(a)anthracene</t>
  </si>
  <si>
    <t>Chemical</t>
  </si>
  <si>
    <t>Chrysene</t>
  </si>
  <si>
    <t>Danitol</t>
  </si>
  <si>
    <t>Dibromochloromethane</t>
  </si>
  <si>
    <t>CASRN</t>
  </si>
  <si>
    <t>107-13-1</t>
  </si>
  <si>
    <t>309-00-2</t>
  </si>
  <si>
    <t>7440-38-2</t>
  </si>
  <si>
    <t>71-43-2</t>
  </si>
  <si>
    <t>92-87-5</t>
  </si>
  <si>
    <t>Acrylonitrile</t>
  </si>
  <si>
    <t>An BW (kg)</t>
  </si>
  <si>
    <t>An BW (g)</t>
  </si>
  <si>
    <t>Aldrin</t>
  </si>
  <si>
    <t>Benzene</t>
  </si>
  <si>
    <t>Benzidene</t>
  </si>
  <si>
    <t>56-55-3</t>
  </si>
  <si>
    <t>Benzo(a)pyrene</t>
  </si>
  <si>
    <t>50-32-8</t>
  </si>
  <si>
    <t>Bis(chloromethyl)ether</t>
  </si>
  <si>
    <t>542-88-1</t>
  </si>
  <si>
    <t>Carbon Tetrachloride</t>
  </si>
  <si>
    <t>Bromodichloromethane</t>
  </si>
  <si>
    <t>75-27-4</t>
  </si>
  <si>
    <t>Bromoform</t>
  </si>
  <si>
    <t>75-25-2</t>
  </si>
  <si>
    <t>n/a</t>
  </si>
  <si>
    <t>56-23-5</t>
  </si>
  <si>
    <t>Chloroform</t>
  </si>
  <si>
    <t>67-66-3</t>
  </si>
  <si>
    <t>218-01-9</t>
  </si>
  <si>
    <t>4,4'-DDD</t>
  </si>
  <si>
    <t>72-54-8</t>
  </si>
  <si>
    <t>4,4'-DDE</t>
  </si>
  <si>
    <t>4,4'-DDT</t>
  </si>
  <si>
    <t>50-29-3</t>
  </si>
  <si>
    <t>124-48-1</t>
  </si>
  <si>
    <t>106-93-4</t>
  </si>
  <si>
    <t>1,2-Dichloroethane</t>
  </si>
  <si>
    <t>107-06-2</t>
  </si>
  <si>
    <t>1,1-Dichloroethylene</t>
  </si>
  <si>
    <t>75-35-4</t>
  </si>
  <si>
    <t>542-75-6</t>
  </si>
  <si>
    <t>Dieldrin</t>
  </si>
  <si>
    <t>1746-01-6</t>
  </si>
  <si>
    <t>60-57-1</t>
  </si>
  <si>
    <t>Heptachlor</t>
  </si>
  <si>
    <t>76-44-8</t>
  </si>
  <si>
    <t>Heptachlor Epoxide</t>
  </si>
  <si>
    <t>1024-57-3</t>
  </si>
  <si>
    <t>Hexachlorobenzene</t>
  </si>
  <si>
    <t>118-74-1</t>
  </si>
  <si>
    <t>Hexachlorobutadiene</t>
  </si>
  <si>
    <t>87-68-3</t>
  </si>
  <si>
    <t>319-84-6</t>
  </si>
  <si>
    <t>319-85-7</t>
  </si>
  <si>
    <t>Pyridine</t>
  </si>
  <si>
    <t>Dicofol</t>
  </si>
  <si>
    <t>Hexachloroethane</t>
  </si>
  <si>
    <t>Tetrachloroethylene</t>
  </si>
  <si>
    <t>Toxaphene</t>
  </si>
  <si>
    <t>Trichloroethylene</t>
  </si>
  <si>
    <t>N-Nitrosodiethylamine</t>
  </si>
  <si>
    <t>55-18-5</t>
  </si>
  <si>
    <r>
      <t>N-Nitroso-di-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-Butylamine</t>
    </r>
  </si>
  <si>
    <r>
      <t>a</t>
    </r>
    <r>
      <rPr>
        <b/>
        <sz val="10"/>
        <rFont val="Arial"/>
        <family val="2"/>
      </rPr>
      <t>-Hexachlorocyclohexane</t>
    </r>
  </si>
  <si>
    <r>
      <t>b</t>
    </r>
    <r>
      <rPr>
        <b/>
        <sz val="10"/>
        <rFont val="Arial"/>
        <family val="2"/>
      </rPr>
      <t>-Hexachlorocyclohexane</t>
    </r>
  </si>
  <si>
    <r>
      <t>g</t>
    </r>
    <r>
      <rPr>
        <b/>
        <sz val="10"/>
        <rFont val="Arial"/>
        <family val="2"/>
      </rPr>
      <t>-Hexachlorocyclohexane</t>
    </r>
  </si>
  <si>
    <t>924-16-3</t>
  </si>
  <si>
    <t>57-74-9</t>
  </si>
  <si>
    <t>115-32-2</t>
  </si>
  <si>
    <t>1336-36-3</t>
  </si>
  <si>
    <t>87-86-5</t>
  </si>
  <si>
    <t>127-18-4</t>
  </si>
  <si>
    <t>8001-35-2</t>
  </si>
  <si>
    <t>79-01-6</t>
  </si>
  <si>
    <t>75-01-4</t>
  </si>
  <si>
    <t xml:space="preserve"> RSC </t>
  </si>
  <si>
    <t>Chlorobenzene</t>
  </si>
  <si>
    <t>108-90-7</t>
  </si>
  <si>
    <t>18540-29-9</t>
  </si>
  <si>
    <t>Cresols</t>
  </si>
  <si>
    <t>Cyanide</t>
  </si>
  <si>
    <t>57-12-5</t>
  </si>
  <si>
    <t>94-75-7</t>
  </si>
  <si>
    <t>39515-41-8</t>
  </si>
  <si>
    <r>
      <t>p</t>
    </r>
    <r>
      <rPr>
        <b/>
        <sz val="10"/>
        <rFont val="Arial"/>
        <family val="2"/>
      </rPr>
      <t>-Dichlorobenzene</t>
    </r>
  </si>
  <si>
    <t>106-46-7</t>
  </si>
  <si>
    <t>Endrin</t>
  </si>
  <si>
    <t>72-20-8</t>
  </si>
  <si>
    <t>Hexachlorophene</t>
  </si>
  <si>
    <t>70-30-4</t>
  </si>
  <si>
    <t>Lead</t>
  </si>
  <si>
    <t>7439-92-1</t>
  </si>
  <si>
    <t>Methoxychlor</t>
  </si>
  <si>
    <t>72-43-5</t>
  </si>
  <si>
    <t>Methyl Ethyl Ketone</t>
  </si>
  <si>
    <t>78-93-3</t>
  </si>
  <si>
    <t>Nitrobenzene</t>
  </si>
  <si>
    <t>98-95-3</t>
  </si>
  <si>
    <t>Pentachlorobenzene</t>
  </si>
  <si>
    <t>608-93-5</t>
  </si>
  <si>
    <t>110-86-1</t>
  </si>
  <si>
    <t>Selenium</t>
  </si>
  <si>
    <t>7782-49-2</t>
  </si>
  <si>
    <t>1,2,4,5-Tetrachlorobenzene</t>
  </si>
  <si>
    <t>95-94-3</t>
  </si>
  <si>
    <t>2,4,5-TP (Silvex)</t>
  </si>
  <si>
    <t>93-72-1</t>
  </si>
  <si>
    <t>1,1,1-Trichloroethane</t>
  </si>
  <si>
    <t>71-55-6</t>
  </si>
  <si>
    <t>95-95-4</t>
  </si>
  <si>
    <t>Anthracene</t>
  </si>
  <si>
    <t>120-12-7</t>
  </si>
  <si>
    <t>Antimony</t>
  </si>
  <si>
    <t>111-44-4</t>
  </si>
  <si>
    <t>117-81-7</t>
  </si>
  <si>
    <r>
      <t>m</t>
    </r>
    <r>
      <rPr>
        <b/>
        <sz val="10"/>
        <rFont val="Arial"/>
        <family val="2"/>
      </rPr>
      <t>-Dichlorobenzene</t>
    </r>
  </si>
  <si>
    <t>541-73-1</t>
  </si>
  <si>
    <r>
      <t>o</t>
    </r>
    <r>
      <rPr>
        <b/>
        <sz val="10"/>
        <rFont val="Arial"/>
        <family val="2"/>
      </rPr>
      <t>-Dichlorobenzene</t>
    </r>
  </si>
  <si>
    <t>95-50-1</t>
  </si>
  <si>
    <t>3,3'-Dichlorobenzidine</t>
  </si>
  <si>
    <t>91-94-1</t>
  </si>
  <si>
    <t>Dichloromethane</t>
  </si>
  <si>
    <t>1,2-Dichloropropane</t>
  </si>
  <si>
    <t>78-87-5</t>
  </si>
  <si>
    <t>Di-n-Butyl Phthalate</t>
  </si>
  <si>
    <t>84-74-2</t>
  </si>
  <si>
    <t>2,4-Dimethylphenol</t>
  </si>
  <si>
    <t>105-67-9</t>
  </si>
  <si>
    <t>Ethylbenzene</t>
  </si>
  <si>
    <t>100-41-4</t>
  </si>
  <si>
    <t>Hexachlorocyclopentadiene</t>
  </si>
  <si>
    <t>77-47-4</t>
  </si>
  <si>
    <t>Nickle</t>
  </si>
  <si>
    <t>79-34-5</t>
  </si>
  <si>
    <t>Thallium</t>
  </si>
  <si>
    <t>7440-28-0</t>
  </si>
  <si>
    <t>Toluene</t>
  </si>
  <si>
    <t>108-88-3</t>
  </si>
  <si>
    <t>1,1,2-Trichloroethane</t>
  </si>
  <si>
    <t>79-00-5</t>
  </si>
  <si>
    <t>Bis(2-chloroethy)ether</t>
  </si>
  <si>
    <t>RSC</t>
  </si>
  <si>
    <t>67-72-1</t>
  </si>
  <si>
    <t>75-09-2</t>
  </si>
  <si>
    <t>1,3-Dichloropropene#</t>
  </si>
  <si>
    <t>New animal body weights</t>
  </si>
  <si>
    <t>72-55-9</t>
  </si>
  <si>
    <t>Dioxin</t>
  </si>
  <si>
    <t>BCF Source</t>
  </si>
  <si>
    <t>Rfd Source</t>
  </si>
  <si>
    <t>1634-04-4</t>
  </si>
  <si>
    <t>Fish Tissue</t>
  </si>
  <si>
    <t>IRIS</t>
  </si>
  <si>
    <t>NRWQC Matrix - 2002</t>
  </si>
  <si>
    <t>58-89-9</t>
  </si>
  <si>
    <t>Old MCL</t>
  </si>
  <si>
    <t>New MCL</t>
  </si>
  <si>
    <t>Chromium VI</t>
  </si>
  <si>
    <t>Notes</t>
  </si>
  <si>
    <t>7440-02-0</t>
  </si>
  <si>
    <t>EPA 1980 304(a) weighted average BCF for edible portion of fish</t>
  </si>
  <si>
    <t>QSAR - EPA T.E.S.T.  Consensus Method</t>
  </si>
  <si>
    <t>Rfd calculated by TCEQ staff in 1990.</t>
  </si>
  <si>
    <t>* MCL from TTHM's footnote</t>
  </si>
  <si>
    <t>IRIS 2009 - for hair follicle atrophy</t>
  </si>
  <si>
    <t>BCF values</t>
  </si>
  <si>
    <t>Source</t>
  </si>
  <si>
    <t>BCF Geomean</t>
  </si>
  <si>
    <t>80-05-7</t>
  </si>
  <si>
    <t>4,4'-Isoprpylidenediphenol</t>
  </si>
  <si>
    <t>Oncorhynchus mykiss</t>
  </si>
  <si>
    <t>ECOTOX</t>
  </si>
  <si>
    <t>Carcinogen?</t>
  </si>
  <si>
    <t>Species</t>
  </si>
  <si>
    <t>Y</t>
  </si>
  <si>
    <t>N</t>
  </si>
  <si>
    <t>Barium</t>
  </si>
  <si>
    <t>7440-39-3</t>
  </si>
  <si>
    <t>Epichlorohydrin</t>
  </si>
  <si>
    <t>106-89-8</t>
  </si>
  <si>
    <t>Ethylene Glycol</t>
  </si>
  <si>
    <t>107-21-1</t>
  </si>
  <si>
    <t>No BCF data in Ecotox</t>
  </si>
  <si>
    <t>1,2-Dibromoethane</t>
  </si>
  <si>
    <t>Pimephales promelas</t>
  </si>
  <si>
    <t>Gambusia affinis</t>
  </si>
  <si>
    <t>Only one value for one organism</t>
  </si>
  <si>
    <t>Penaeus aztecus</t>
  </si>
  <si>
    <t>All BCF study results were given in ranges or estimates.  Used estimates and upper end of ranges for geomean.</t>
  </si>
  <si>
    <t>Procambarus sp.</t>
  </si>
  <si>
    <t>Ecotox</t>
  </si>
  <si>
    <t xml:space="preserve">Ecotox </t>
  </si>
  <si>
    <t xml:space="preserve">a. If several organisims are present, use native over non-native species. </t>
  </si>
  <si>
    <t xml:space="preserve">2.  No national criteria?  Look to Ecotox.     </t>
  </si>
  <si>
    <t>b. Of the appropriate species available, use the results for the most sensitive (the most stringent for native sp. If present or the most sensitive of non-natives if no native data present)</t>
  </si>
  <si>
    <t>c. If similiar test results are present for one organisim, geomean the values.  Tests need to be the same type, but different durations are okay.</t>
  </si>
  <si>
    <t>http://www.epa.gov/nrmrl/std/cppb/qsar/</t>
  </si>
  <si>
    <t>http://www.epa.gov/nrmrl/std/cppb/qsar/testuserguide.pdf</t>
  </si>
  <si>
    <t>http://water.epa.gov/scitech/swguidance/standards/upload/2002_12_30_criteria_wqctable_hh_calc_matrix.pdf</t>
  </si>
  <si>
    <t>Oncorhynchus gorbuscha</t>
  </si>
  <si>
    <t>Used data for o-cresol.  No definative values given, so used upper end of ranges.</t>
  </si>
  <si>
    <t>a. If the model shows that the test chemical was present in the data set, than that value was used.</t>
  </si>
  <si>
    <t>b. If the model did not have the chemical of concern in the data set to run in the model, the consensus model result was used.</t>
  </si>
  <si>
    <t>QSAR - EPA T.E.S.T consensus method (included in data set)</t>
  </si>
  <si>
    <t xml:space="preserve">4.  What if T.E.S.T. can't/won't model or if the model relationships are poor (No chemicals in the test set exceed a minimum similarity coefficient of 0.5 for comparison purposes)?  </t>
  </si>
  <si>
    <t>Use the log P to calculate the BCF</t>
  </si>
  <si>
    <t>log BCF = (log P)(0.79)+0.0037</t>
  </si>
  <si>
    <t>^ PPRTV - Provisional Peer Reviewed Toxicity Value (USEPA)</t>
  </si>
  <si>
    <t>IRIS - based on mice, allometric scaling factor (3/4) used, IRIS updated 11-10-11</t>
  </si>
  <si>
    <t>IRIS - based on rats, allometric scaling factor (3/4) used; IRIS update 9-23-11</t>
  </si>
  <si>
    <t xml:space="preserve">OEHHA" - based on 3 rat studies (one female, two male) bw is average of male and female rats and has been scaled to 3/4 </t>
  </si>
  <si>
    <t>" OEHHA - CalEPA Office of Environmental Health Hazard Assessment</t>
  </si>
  <si>
    <t>OEHHA"</t>
  </si>
  <si>
    <t>IRIS - based on humans; updated 9-28-11</t>
  </si>
  <si>
    <t>NRWQC Matrix 2002 and HEAST~ - not in IRIS</t>
  </si>
  <si>
    <t xml:space="preserve">~ HEAST - Health Effects Assessment Summary Table </t>
  </si>
  <si>
    <t>** NCEA - National Center for Environmental Assessment Values (USEPA)</t>
  </si>
  <si>
    <t xml:space="preserve">^^ ATSDR - Agency for Toxic Substances and Disease Registry </t>
  </si>
  <si>
    <t>ATSDR^^ chronic MRL</t>
  </si>
  <si>
    <t>HEAST~</t>
  </si>
  <si>
    <t>4,4'-Isopropylidenediphenol (bisphenol A)</t>
  </si>
  <si>
    <t>3.  Not in Ecotox?  Use EPA's QSAR Toxicity Estimation Software Tool (T.E.S.T.)  - version 4.1.</t>
  </si>
  <si>
    <t>BCF TEST Result</t>
  </si>
  <si>
    <t>TEST</t>
  </si>
  <si>
    <t>No BCF data in Ecotox; chemical in TEST dataset</t>
  </si>
  <si>
    <t>BAF value</t>
  </si>
  <si>
    <t>How were BCFs/BAFs selected?</t>
  </si>
  <si>
    <t>EPA TEST</t>
  </si>
  <si>
    <t>Log P</t>
  </si>
  <si>
    <t>Chemical Name</t>
  </si>
  <si>
    <t>CAS</t>
  </si>
  <si>
    <t>BAF TL 2</t>
  </si>
  <si>
    <t>BAF TL 3</t>
  </si>
  <si>
    <t>BAF TL 4</t>
  </si>
  <si>
    <t>Final BAF</t>
  </si>
  <si>
    <t>1,1,2,2-Tetrachloroethane</t>
  </si>
  <si>
    <t>1,3-Dichloropropene</t>
  </si>
  <si>
    <t>Chlordane</t>
  </si>
  <si>
    <t>Pentachlorophenol</t>
  </si>
  <si>
    <t>Vinyl Chloride</t>
  </si>
  <si>
    <t>TL2 * %FC</t>
  </si>
  <si>
    <t>TL3 *% FC</t>
  </si>
  <si>
    <t>TL4 * %FC</t>
  </si>
  <si>
    <t>%Fish Consumption T2 =</t>
  </si>
  <si>
    <t>%Fish Consumption T3 =</t>
  </si>
  <si>
    <t>%Fish Consumption T4 =</t>
  </si>
  <si>
    <t xml:space="preserve">%Total = </t>
  </si>
  <si>
    <t>1.  If national criteria are present, use the same BCF/BAF as EPA (2002 matrix and 2015 Update)</t>
  </si>
  <si>
    <t>http://water.epa.gov/scitech/swguidance/standards/criteria/current/index.cfm#hhtable</t>
  </si>
  <si>
    <t xml:space="preserve">EPA 2015 Human Health Criteria: </t>
  </si>
  <si>
    <t>http://water.epa.gov/scitech/swguidance/standards/criteria/current/loader.cfm?csModule=security/getfile&amp;PageID=717638</t>
  </si>
  <si>
    <t>http://water.epa.gov/scitech/swguidance/standards/criteria/current/hhfinal.cfm</t>
  </si>
  <si>
    <t xml:space="preserve">EPA 2002 Calculation Matrix: </t>
  </si>
  <si>
    <t xml:space="preserve">Ecotox: </t>
  </si>
  <si>
    <t>http://cfpub.epa.gov/ecotox/</t>
  </si>
  <si>
    <t xml:space="preserve">EPA QSAR TEST: </t>
  </si>
  <si>
    <t>http://www.epa.gov/nrmrl/std/qsar/qsar.html</t>
  </si>
  <si>
    <t>NRWQC Matrix - 2002 and 2015</t>
  </si>
  <si>
    <t>m-Dichlorobenzene</t>
  </si>
  <si>
    <t>p-dichlorobenzene</t>
  </si>
  <si>
    <t>IRIS and NRWQC Matrix - 2015</t>
  </si>
  <si>
    <t>NRWQC Matrix - 2015; not in IRIS</t>
  </si>
  <si>
    <t xml:space="preserve">IRIS and NRWQC Matrix - 2015 </t>
  </si>
  <si>
    <t>7440-36-0</t>
  </si>
  <si>
    <t>NRWQC Matrix - 2015; no data in IRIS</t>
  </si>
  <si>
    <t>PPRTV^</t>
  </si>
  <si>
    <t>Criteria for Table 2</t>
  </si>
  <si>
    <t>$ Based on aesthetics criteria - 1998 Oxygenated Fuels Association study "Taste and Odor Properties of Methyl Tertiary-Butyl Ether and Implications for Setting a Secondary MCL"</t>
  </si>
  <si>
    <t>Slope factor source</t>
  </si>
  <si>
    <t>IRIS for 2-methyphenol (CASRN 95-48-7) (Synonym = Cresols (o-, m-, p-)</t>
  </si>
  <si>
    <t>IRIS for hydrogen cyanide and cyanide salts</t>
  </si>
  <si>
    <t>IRIS - Nickel soluable salts</t>
  </si>
  <si>
    <t>IRIS - new 2017 update</t>
  </si>
  <si>
    <t>New Rfd - IRIS; Old Rfd -TCEQ Toxicology Division derived</t>
  </si>
  <si>
    <t>15$</t>
  </si>
  <si>
    <t>based on existing slope factor for benzo(a)pyrene (1 (mg/kg-day)-1)) using the appropriate toxicity equivalent factors (TEFs)</t>
  </si>
  <si>
    <t>2016 PPRTV value https://cfpub.epa.gov/ncea/pprtv/documents/Dichloropropane12.pdf</t>
  </si>
  <si>
    <t>NRWQC Matrix - 2015 and 2014 Health Canada</t>
  </si>
  <si>
    <t>IRIS - chronic</t>
  </si>
  <si>
    <t>Originally sourced from EPA National Center for Environmental Assessment Factors - no info in IRIS</t>
  </si>
  <si>
    <t>Di(2-ethylhexyl)phthalate (aka Bis(2-ethylhexyl)phthalate )</t>
  </si>
  <si>
    <t>Dibromochloromethane (aka Chlorodibromomethane)</t>
  </si>
  <si>
    <t>Withdrawn from IRIS - using DDE's w/ TEF</t>
  </si>
  <si>
    <t>Cells changed from 2022 WQS</t>
  </si>
  <si>
    <t>Criteria for Table 2 that differ from current criteria in 2022 TSWQS</t>
  </si>
  <si>
    <t>Old BCF (L/kg tissue)</t>
  </si>
  <si>
    <t>New BAF/BCF (L/kg tissue)</t>
  </si>
  <si>
    <t>Non Carc Water &amp; Fish (ug/L)</t>
  </si>
  <si>
    <t>Non Carc Fish Only (ug/L)</t>
  </si>
  <si>
    <t>New BCF/BAF (L/kg tissue)</t>
  </si>
  <si>
    <t>New Water &amp; Fish Child (ug/L)</t>
  </si>
  <si>
    <t>NewFishChild only (ug/L)</t>
  </si>
  <si>
    <t>NA</t>
  </si>
  <si>
    <t>BAF/BCF Source</t>
  </si>
  <si>
    <t>2022 WQS slope factor (mg/kg/d)</t>
  </si>
  <si>
    <t>New slope factor (mg/kg/d)</t>
  </si>
  <si>
    <t>Old RfD (mg/kg/d)</t>
  </si>
  <si>
    <t>New Rfd (mg/kg/d)</t>
  </si>
  <si>
    <t>New RfD (mg/kg/d)</t>
  </si>
  <si>
    <t>2022 TSWQS BCF (L/kg tissue)</t>
  </si>
  <si>
    <t xml:space="preserve"> 2022 TSWQS RfD (mg/kg/d)</t>
  </si>
  <si>
    <t>IRIS - based on rats (1987)</t>
  </si>
  <si>
    <t>BAF - EPA BAFs June 2015 Tab</t>
  </si>
  <si>
    <t>Corrected Slope Factor</t>
  </si>
  <si>
    <t>IRIS - based on mice (1987)</t>
  </si>
  <si>
    <t>IRIS - based on humans (2007)</t>
  </si>
  <si>
    <t>IRIS - based on humans (2000)</t>
  </si>
  <si>
    <t>IRIS - based on humans (1987)</t>
  </si>
  <si>
    <t>IRIS - based on 500g rats (1988)</t>
  </si>
  <si>
    <t>IRIS - based on mice (1993)</t>
  </si>
  <si>
    <t>IRIS - based on rats (1990)</t>
  </si>
  <si>
    <t>IRIS - based on mice (2010)</t>
  </si>
  <si>
    <t>IRIS - based on mice (1988)</t>
  </si>
  <si>
    <t>IRIS - based on mice and hamsters (1988)</t>
  </si>
  <si>
    <t>IRIS - based on mice and rats (1988)</t>
  </si>
  <si>
    <t>IRIS - based on mice (1992)</t>
  </si>
  <si>
    <t>IRIS - based on rats (2004)</t>
  </si>
  <si>
    <t>IRIS - based on mice (2000)</t>
  </si>
  <si>
    <t>IRIS - based on rats (1988)</t>
  </si>
  <si>
    <t>IRIS - based on rats (1991)</t>
  </si>
  <si>
    <t>IRIS - based on rats (1996)</t>
  </si>
  <si>
    <t>IRIS- based on multistage model of mice data which was adjusted for cross-species scaling (BW3/4) to address toxicological equivalence of internal doses between mice and humans (based on the assumption that equal risks result from equivalent constant lifetime exposures). (2010)</t>
  </si>
  <si>
    <t>IRIS - based on multistage model of mice data which was adjusted for cross-species scaling (BW3/4) to address toxicological equivalence of internal doses between mice and humans (based on the assumption that equal risks result from equivalent constant lifetime exposures). (2010)</t>
  </si>
  <si>
    <t xml:space="preserve">IRIS - male mouse hepatocellular tumor data; BW scaled to 3/4 (2012)
</t>
  </si>
  <si>
    <t>IRIS - based on mice. IRIS entry since removed.</t>
  </si>
  <si>
    <t>IRIS - 2017 update. Based on rats. TWA daily doses were converted to HEDs on the basis of BW 3/4 scaling. 2015 EPA national criteria uses old value of 7.3</t>
  </si>
  <si>
    <t xml:space="preserve"> Carc Water&amp;Fish (ug/L)</t>
  </si>
  <si>
    <t xml:space="preserve">  Carc Fish only (ug/L)</t>
  </si>
  <si>
    <t>PCBs</t>
  </si>
  <si>
    <t>Methyl tert-butyl ether (MTBE)</t>
  </si>
  <si>
    <t>Arsenic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</si>
</sst>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164" formatCode="0.0000"/>
    <numFmt numFmtId="165" formatCode="0.000"/>
    <numFmt numFmtId="166" formatCode="0.00000"/>
    <numFmt numFmtId="167" formatCode="0.0"/>
    <numFmt numFmtId="168" formatCode="0.00000000"/>
    <numFmt numFmtId="169" formatCode="0.000000"/>
    <numFmt numFmtId="170" formatCode="0.0000E+00"/>
    <numFmt numFmtId="171" formatCode="0.0000000000"/>
  </numFmts>
  <fonts count="19">
    <font>
      <sz val="12"/>
      <name val="Arial"/>
    </font>
    <font>
      <sz val="8"/>
      <name val="Arial"/>
    </font>
    <font>
      <sz val="10"/>
      <name val="Arial"/>
      <family val="2"/>
    </font>
    <font>
      <b/>
      <sz val="8"/>
      <name val="Clarendon Condensed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 style="mediumDashDotDot">
        <color indexed="64"/>
      </right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/>
      <diagonal/>
    </border>
  </borders>
  <cellStyleXfs count="9">
    <xf numFmtId="0" fontId="0" fillId="0" borderId="0"/>
    <xf numFmtId="3" fontId="2" fillId="0" borderId="0"/>
    <xf numFmtId="5" fontId="2" fillId="0" borderId="0"/>
    <xf numFmtId="14" fontId="2" fillId="0" borderId="0"/>
    <xf numFmtId="2" fontId="2" fillId="0" borderId="0"/>
    <xf numFmtId="0" fontId="7" fillId="0" borderId="0"/>
    <xf numFmtId="0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" fillId="0" borderId="1"/>
  </cellStyleXfs>
  <cellXfs count="206">
    <xf numFmtId="0" fontId="0" fillId="2" borderId="0" xfId="0" applyFill="1"/>
    <xf numFmtId="165" fontId="11" fillId="0" borderId="2" xfId="0" applyNumberFormat="1" applyFont="1" applyBorder="1"/>
    <xf numFmtId="164" fontId="4" fillId="0" borderId="2" xfId="0" applyNumberFormat="1" applyFont="1" applyBorder="1" applyAlignment="1">
      <alignment horizontal="right"/>
    </xf>
    <xf numFmtId="0" fontId="0" fillId="0" borderId="0" xfId="0"/>
    <xf numFmtId="11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7" fontId="4" fillId="0" borderId="2" xfId="0" applyNumberFormat="1" applyFont="1" applyBorder="1" applyAlignment="1">
      <alignment horizontal="right"/>
    </xf>
    <xf numFmtId="164" fontId="0" fillId="0" borderId="0" xfId="0" applyNumberFormat="1"/>
    <xf numFmtId="0" fontId="13" fillId="0" borderId="0" xfId="0" applyFont="1"/>
    <xf numFmtId="0" fontId="13" fillId="0" borderId="0" xfId="0" applyFont="1" applyProtection="1">
      <protection locked="0"/>
    </xf>
    <xf numFmtId="0" fontId="13" fillId="3" borderId="4" xfId="0" applyFont="1" applyFill="1" applyBorder="1"/>
    <xf numFmtId="0" fontId="13" fillId="2" borderId="4" xfId="0" applyFont="1" applyFill="1" applyBorder="1"/>
    <xf numFmtId="0" fontId="16" fillId="2" borderId="5" xfId="0" applyFont="1" applyFill="1" applyBorder="1"/>
    <xf numFmtId="0" fontId="0" fillId="2" borderId="6" xfId="0" applyFill="1" applyBorder="1"/>
    <xf numFmtId="0" fontId="16" fillId="2" borderId="7" xfId="0" applyFont="1" applyFill="1" applyBorder="1"/>
    <xf numFmtId="0" fontId="16" fillId="2" borderId="6" xfId="0" applyFont="1" applyFill="1" applyBorder="1"/>
    <xf numFmtId="0" fontId="16" fillId="2" borderId="7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0" xfId="0" applyFont="1" applyFill="1"/>
    <xf numFmtId="0" fontId="16" fillId="3" borderId="8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165" fontId="16" fillId="4" borderId="5" xfId="0" applyNumberFormat="1" applyFont="1" applyFill="1" applyBorder="1" applyAlignment="1">
      <alignment horizontal="left"/>
    </xf>
    <xf numFmtId="165" fontId="16" fillId="0" borderId="6" xfId="0" applyNumberFormat="1" applyFont="1" applyBorder="1" applyAlignment="1">
      <alignment horizontal="left"/>
    </xf>
    <xf numFmtId="165" fontId="16" fillId="4" borderId="6" xfId="0" applyNumberFormat="1" applyFont="1" applyFill="1" applyBorder="1"/>
    <xf numFmtId="165" fontId="16" fillId="4" borderId="7" xfId="0" applyNumberFormat="1" applyFont="1" applyFill="1" applyBorder="1"/>
    <xf numFmtId="165" fontId="16" fillId="4" borderId="7" xfId="0" applyNumberFormat="1" applyFont="1" applyFill="1" applyBorder="1" applyAlignment="1">
      <alignment horizontal="left"/>
    </xf>
    <xf numFmtId="0" fontId="13" fillId="3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0" fillId="0" borderId="6" xfId="0" applyBorder="1"/>
    <xf numFmtId="165" fontId="11" fillId="0" borderId="2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2" borderId="0" xfId="0" applyFont="1" applyFill="1"/>
    <xf numFmtId="164" fontId="14" fillId="0" borderId="11" xfId="0" applyNumberFormat="1" applyFont="1" applyBorder="1" applyAlignment="1">
      <alignment horizontal="left" wrapText="1"/>
    </xf>
    <xf numFmtId="164" fontId="14" fillId="0" borderId="11" xfId="0" applyNumberFormat="1" applyFont="1" applyBorder="1" applyAlignment="1">
      <alignment wrapText="1"/>
    </xf>
    <xf numFmtId="165" fontId="5" fillId="0" borderId="3" xfId="0" applyNumberFormat="1" applyFont="1" applyBorder="1"/>
    <xf numFmtId="2" fontId="4" fillId="0" borderId="3" xfId="0" applyNumberFormat="1" applyFont="1" applyBorder="1" applyAlignment="1">
      <alignment horizontal="right"/>
    </xf>
    <xf numFmtId="11" fontId="4" fillId="0" borderId="3" xfId="0" applyNumberFormat="1" applyFont="1" applyBorder="1" applyAlignment="1">
      <alignment horizontal="right"/>
    </xf>
    <xf numFmtId="165" fontId="5" fillId="0" borderId="2" xfId="0" applyNumberFormat="1" applyFont="1" applyBorder="1"/>
    <xf numFmtId="164" fontId="4" fillId="0" borderId="2" xfId="0" applyNumberFormat="1" applyFont="1" applyBorder="1" applyAlignment="1">
      <alignment horizontal="right" wrapText="1"/>
    </xf>
    <xf numFmtId="2" fontId="4" fillId="0" borderId="12" xfId="0" applyNumberFormat="1" applyFont="1" applyBorder="1" applyAlignment="1">
      <alignment horizontal="right"/>
    </xf>
    <xf numFmtId="165" fontId="11" fillId="0" borderId="3" xfId="0" applyNumberFormat="1" applyFont="1" applyBorder="1"/>
    <xf numFmtId="165" fontId="5" fillId="0" borderId="0" xfId="0" applyNumberFormat="1" applyFont="1" applyAlignment="1">
      <alignment horizontal="left"/>
    </xf>
    <xf numFmtId="2" fontId="0" fillId="0" borderId="0" xfId="0" applyNumberFormat="1"/>
    <xf numFmtId="164" fontId="0" fillId="0" borderId="0" xfId="0" applyNumberFormat="1" applyAlignment="1">
      <alignment wrapText="1"/>
    </xf>
    <xf numFmtId="11" fontId="0" fillId="0" borderId="0" xfId="0" applyNumberFormat="1"/>
    <xf numFmtId="165" fontId="11" fillId="0" borderId="0" xfId="0" applyNumberFormat="1" applyFont="1" applyAlignment="1">
      <alignment horizontal="left"/>
    </xf>
    <xf numFmtId="0" fontId="11" fillId="0" borderId="0" xfId="0" applyFont="1"/>
    <xf numFmtId="0" fontId="14" fillId="0" borderId="13" xfId="0" applyFont="1" applyBorder="1"/>
    <xf numFmtId="0" fontId="14" fillId="0" borderId="14" xfId="0" applyFont="1" applyBorder="1"/>
    <xf numFmtId="166" fontId="14" fillId="0" borderId="15" xfId="0" applyNumberFormat="1" applyFont="1" applyBorder="1" applyAlignment="1">
      <alignment horizontal="right" wrapText="1"/>
    </xf>
    <xf numFmtId="1" fontId="14" fillId="0" borderId="11" xfId="0" applyNumberFormat="1" applyFont="1" applyBorder="1" applyAlignment="1">
      <alignment horizontal="right"/>
    </xf>
    <xf numFmtId="165" fontId="14" fillId="0" borderId="11" xfId="0" applyNumberFormat="1" applyFont="1" applyBorder="1" applyAlignment="1">
      <alignment horizontal="right"/>
    </xf>
    <xf numFmtId="0" fontId="14" fillId="0" borderId="16" xfId="0" applyFont="1" applyBorder="1" applyAlignment="1">
      <alignment horizontal="center"/>
    </xf>
    <xf numFmtId="165" fontId="5" fillId="0" borderId="3" xfId="0" applyNumberFormat="1" applyFont="1" applyBorder="1" applyAlignment="1">
      <alignment horizontal="left"/>
    </xf>
    <xf numFmtId="1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6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4" fillId="0" borderId="17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5" fontId="9" fillId="0" borderId="2" xfId="0" applyNumberFormat="1" applyFont="1" applyBorder="1" applyAlignment="1">
      <alignment horizontal="left"/>
    </xf>
    <xf numFmtId="165" fontId="5" fillId="0" borderId="18" xfId="0" applyNumberFormat="1" applyFont="1" applyBorder="1" applyAlignment="1">
      <alignment horizontal="left"/>
    </xf>
    <xf numFmtId="165" fontId="3" fillId="0" borderId="18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8" fillId="0" borderId="18" xfId="0" applyFont="1" applyBorder="1" applyAlignment="1">
      <alignment horizontal="center"/>
    </xf>
    <xf numFmtId="0" fontId="0" fillId="0" borderId="19" xfId="0" applyBorder="1"/>
    <xf numFmtId="0" fontId="4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165" fontId="5" fillId="0" borderId="12" xfId="0" applyNumberFormat="1" applyFont="1" applyBorder="1" applyAlignment="1">
      <alignment horizontal="left"/>
    </xf>
    <xf numFmtId="0" fontId="2" fillId="0" borderId="0" xfId="0" applyFont="1"/>
    <xf numFmtId="166" fontId="0" fillId="0" borderId="0" xfId="0" applyNumberFormat="1"/>
    <xf numFmtId="166" fontId="0" fillId="0" borderId="0" xfId="0" applyNumberFormat="1" applyAlignment="1">
      <alignment wrapText="1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15" fillId="0" borderId="0" xfId="0" applyFont="1"/>
    <xf numFmtId="2" fontId="4" fillId="5" borderId="2" xfId="0" applyNumberFormat="1" applyFont="1" applyFill="1" applyBorder="1" applyAlignment="1">
      <alignment horizontal="right"/>
    </xf>
    <xf numFmtId="164" fontId="4" fillId="6" borderId="2" xfId="0" applyNumberFormat="1" applyFont="1" applyFill="1" applyBorder="1" applyAlignment="1">
      <alignment horizontal="right"/>
    </xf>
    <xf numFmtId="164" fontId="4" fillId="6" borderId="3" xfId="0" applyNumberFormat="1" applyFont="1" applyFill="1" applyBorder="1" applyAlignment="1">
      <alignment horizontal="right"/>
    </xf>
    <xf numFmtId="0" fontId="16" fillId="7" borderId="7" xfId="0" applyFont="1" applyFill="1" applyBorder="1"/>
    <xf numFmtId="0" fontId="16" fillId="7" borderId="6" xfId="0" applyFont="1" applyFill="1" applyBorder="1"/>
    <xf numFmtId="0" fontId="17" fillId="0" borderId="0" xfId="7" applyAlignment="1" applyProtection="1"/>
    <xf numFmtId="0" fontId="6" fillId="2" borderId="4" xfId="0" applyFont="1" applyFill="1" applyBorder="1"/>
    <xf numFmtId="0" fontId="12" fillId="2" borderId="5" xfId="0" applyFont="1" applyFill="1" applyBorder="1"/>
    <xf numFmtId="0" fontId="0" fillId="2" borderId="7" xfId="0" applyFill="1" applyBorder="1"/>
    <xf numFmtId="0" fontId="12" fillId="2" borderId="6" xfId="0" applyFont="1" applyFill="1" applyBorder="1"/>
    <xf numFmtId="0" fontId="0" fillId="7" borderId="6" xfId="0" applyFill="1" applyBorder="1"/>
    <xf numFmtId="0" fontId="12" fillId="2" borderId="7" xfId="0" applyFont="1" applyFill="1" applyBorder="1"/>
    <xf numFmtId="0" fontId="2" fillId="2" borderId="0" xfId="0" applyFont="1" applyFill="1"/>
    <xf numFmtId="0" fontId="2" fillId="2" borderId="20" xfId="0" applyFont="1" applyFill="1" applyBorder="1"/>
    <xf numFmtId="165" fontId="9" fillId="0" borderId="2" xfId="0" applyNumberFormat="1" applyFont="1" applyBorder="1"/>
    <xf numFmtId="0" fontId="2" fillId="2" borderId="17" xfId="0" applyFont="1" applyFill="1" applyBorder="1"/>
    <xf numFmtId="0" fontId="2" fillId="2" borderId="2" xfId="0" applyFont="1" applyFill="1" applyBorder="1"/>
    <xf numFmtId="0" fontId="2" fillId="2" borderId="21" xfId="0" applyFont="1" applyFill="1" applyBorder="1"/>
    <xf numFmtId="0" fontId="2" fillId="2" borderId="18" xfId="0" applyFont="1" applyFill="1" applyBorder="1"/>
    <xf numFmtId="0" fontId="2" fillId="2" borderId="3" xfId="0" applyFont="1" applyFill="1" applyBorder="1"/>
    <xf numFmtId="0" fontId="2" fillId="2" borderId="22" xfId="0" applyFont="1" applyFill="1" applyBorder="1"/>
    <xf numFmtId="0" fontId="2" fillId="2" borderId="0" xfId="0" applyFont="1" applyFill="1" applyAlignment="1">
      <alignment horizontal="right"/>
    </xf>
    <xf numFmtId="0" fontId="17" fillId="2" borderId="0" xfId="7" applyFill="1" applyAlignment="1" applyProtection="1"/>
    <xf numFmtId="165" fontId="5" fillId="5" borderId="0" xfId="0" applyNumberFormat="1" applyFont="1" applyFill="1" applyAlignment="1">
      <alignment horizontal="left"/>
    </xf>
    <xf numFmtId="164" fontId="4" fillId="0" borderId="0" xfId="0" applyNumberFormat="1" applyFont="1" applyAlignment="1">
      <alignment horizontal="right" wrapText="1"/>
    </xf>
    <xf numFmtId="165" fontId="5" fillId="6" borderId="0" xfId="0" applyNumberFormat="1" applyFont="1" applyFill="1" applyAlignment="1">
      <alignment horizontal="left"/>
    </xf>
    <xf numFmtId="11" fontId="4" fillId="0" borderId="12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1" fontId="8" fillId="8" borderId="2" xfId="0" applyNumberFormat="1" applyFont="1" applyFill="1" applyBorder="1" applyAlignment="1">
      <alignment horizontal="right" wrapText="1"/>
    </xf>
    <xf numFmtId="165" fontId="8" fillId="8" borderId="2" xfId="0" applyNumberFormat="1" applyFont="1" applyFill="1" applyBorder="1" applyAlignment="1">
      <alignment horizontal="right" wrapText="1"/>
    </xf>
    <xf numFmtId="2" fontId="4" fillId="8" borderId="2" xfId="0" applyNumberFormat="1" applyFont="1" applyFill="1" applyBorder="1" applyAlignment="1">
      <alignment horizontal="right" wrapText="1"/>
    </xf>
    <xf numFmtId="164" fontId="8" fillId="8" borderId="2" xfId="0" applyNumberFormat="1" applyFont="1" applyFill="1" applyBorder="1" applyAlignment="1">
      <alignment horizontal="right" wrapText="1"/>
    </xf>
    <xf numFmtId="1" fontId="4" fillId="8" borderId="2" xfId="0" applyNumberFormat="1" applyFont="1" applyFill="1" applyBorder="1" applyAlignment="1">
      <alignment horizontal="right" wrapText="1"/>
    </xf>
    <xf numFmtId="164" fontId="4" fillId="8" borderId="2" xfId="0" applyNumberFormat="1" applyFont="1" applyFill="1" applyBorder="1" applyAlignment="1">
      <alignment horizontal="right" wrapText="1"/>
    </xf>
    <xf numFmtId="165" fontId="4" fillId="8" borderId="2" xfId="0" applyNumberFormat="1" applyFont="1" applyFill="1" applyBorder="1" applyAlignment="1">
      <alignment horizontal="right" wrapText="1"/>
    </xf>
    <xf numFmtId="1" fontId="4" fillId="0" borderId="23" xfId="0" applyNumberFormat="1" applyFont="1" applyBorder="1" applyAlignment="1">
      <alignment horizontal="right"/>
    </xf>
    <xf numFmtId="1" fontId="4" fillId="0" borderId="24" xfId="0" applyNumberFormat="1" applyFont="1" applyBorder="1" applyAlignment="1">
      <alignment horizontal="right"/>
    </xf>
    <xf numFmtId="167" fontId="4" fillId="0" borderId="24" xfId="0" applyNumberFormat="1" applyFont="1" applyBorder="1" applyAlignment="1">
      <alignment horizontal="right"/>
    </xf>
    <xf numFmtId="2" fontId="4" fillId="0" borderId="24" xfId="0" applyNumberFormat="1" applyFont="1" applyBorder="1" applyAlignment="1">
      <alignment horizontal="right"/>
    </xf>
    <xf numFmtId="2" fontId="4" fillId="0" borderId="25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1" fontId="4" fillId="0" borderId="25" xfId="0" applyNumberFormat="1" applyFont="1" applyBorder="1" applyAlignment="1">
      <alignment horizontal="right"/>
    </xf>
    <xf numFmtId="2" fontId="4" fillId="0" borderId="23" xfId="0" applyNumberFormat="1" applyFont="1" applyBorder="1" applyAlignment="1">
      <alignment horizontal="right"/>
    </xf>
    <xf numFmtId="164" fontId="8" fillId="8" borderId="3" xfId="0" applyNumberFormat="1" applyFont="1" applyFill="1" applyBorder="1" applyAlignment="1">
      <alignment horizontal="right" wrapText="1"/>
    </xf>
    <xf numFmtId="1" fontId="4" fillId="8" borderId="3" xfId="0" applyNumberFormat="1" applyFont="1" applyFill="1" applyBorder="1" applyAlignment="1">
      <alignment horizontal="right" wrapText="1"/>
    </xf>
    <xf numFmtId="167" fontId="4" fillId="8" borderId="2" xfId="0" applyNumberFormat="1" applyFont="1" applyFill="1" applyBorder="1" applyAlignment="1">
      <alignment horizontal="right" wrapText="1"/>
    </xf>
    <xf numFmtId="164" fontId="4" fillId="8" borderId="2" xfId="0" applyNumberFormat="1" applyFont="1" applyFill="1" applyBorder="1" applyAlignment="1">
      <alignment horizontal="right"/>
    </xf>
    <xf numFmtId="166" fontId="8" fillId="8" borderId="2" xfId="0" applyNumberFormat="1" applyFont="1" applyFill="1" applyBorder="1" applyAlignment="1">
      <alignment horizontal="right" wrapText="1"/>
    </xf>
    <xf numFmtId="1" fontId="4" fillId="8" borderId="12" xfId="0" applyNumberFormat="1" applyFont="1" applyFill="1" applyBorder="1" applyAlignment="1">
      <alignment horizontal="right" wrapText="1"/>
    </xf>
    <xf numFmtId="164" fontId="4" fillId="8" borderId="3" xfId="0" applyNumberFormat="1" applyFont="1" applyFill="1" applyBorder="1" applyAlignment="1">
      <alignment horizontal="right" wrapText="1"/>
    </xf>
    <xf numFmtId="164" fontId="4" fillId="8" borderId="12" xfId="0" applyNumberFormat="1" applyFont="1" applyFill="1" applyBorder="1" applyAlignment="1">
      <alignment horizontal="right" wrapText="1"/>
    </xf>
    <xf numFmtId="169" fontId="4" fillId="0" borderId="2" xfId="0" applyNumberFormat="1" applyFont="1" applyBorder="1" applyAlignment="1">
      <alignment horizontal="right"/>
    </xf>
    <xf numFmtId="170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/>
    <xf numFmtId="165" fontId="5" fillId="9" borderId="0" xfId="0" applyNumberFormat="1" applyFont="1" applyFill="1" applyAlignment="1">
      <alignment horizontal="left"/>
    </xf>
    <xf numFmtId="0" fontId="4" fillId="9" borderId="0" xfId="0" applyFont="1" applyFill="1" applyAlignment="1">
      <alignment horizontal="right"/>
    </xf>
    <xf numFmtId="166" fontId="4" fillId="0" borderId="2" xfId="0" applyNumberFormat="1" applyFont="1" applyBorder="1"/>
    <xf numFmtId="11" fontId="4" fillId="0" borderId="2" xfId="0" applyNumberFormat="1" applyFont="1" applyBorder="1"/>
    <xf numFmtId="166" fontId="4" fillId="6" borderId="3" xfId="0" applyNumberFormat="1" applyFont="1" applyFill="1" applyBorder="1" applyAlignment="1">
      <alignment horizontal="right"/>
    </xf>
    <xf numFmtId="166" fontId="4" fillId="9" borderId="3" xfId="0" applyNumberFormat="1" applyFont="1" applyFill="1" applyBorder="1" applyAlignment="1">
      <alignment horizontal="right"/>
    </xf>
    <xf numFmtId="164" fontId="4" fillId="9" borderId="3" xfId="0" applyNumberFormat="1" applyFont="1" applyFill="1" applyBorder="1" applyAlignment="1">
      <alignment horizontal="right"/>
    </xf>
    <xf numFmtId="0" fontId="8" fillId="6" borderId="2" xfId="0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left" wrapText="1"/>
    </xf>
    <xf numFmtId="1" fontId="8" fillId="0" borderId="2" xfId="0" applyNumberFormat="1" applyFont="1" applyBorder="1" applyAlignment="1">
      <alignment horizontal="right"/>
    </xf>
    <xf numFmtId="0" fontId="0" fillId="9" borderId="0" xfId="0" applyFill="1"/>
    <xf numFmtId="167" fontId="4" fillId="8" borderId="0" xfId="0" applyNumberFormat="1" applyFont="1" applyFill="1" applyAlignment="1">
      <alignment horizontal="right" wrapText="1"/>
    </xf>
    <xf numFmtId="164" fontId="8" fillId="8" borderId="0" xfId="0" applyNumberFormat="1" applyFont="1" applyFill="1" applyAlignment="1">
      <alignment horizontal="right" wrapText="1"/>
    </xf>
    <xf numFmtId="167" fontId="5" fillId="2" borderId="20" xfId="0" applyNumberFormat="1" applyFont="1" applyFill="1" applyBorder="1"/>
    <xf numFmtId="167" fontId="5" fillId="2" borderId="21" xfId="0" applyNumberFormat="1" applyFont="1" applyFill="1" applyBorder="1"/>
    <xf numFmtId="167" fontId="5" fillId="2" borderId="2" xfId="0" applyNumberFormat="1" applyFont="1" applyFill="1" applyBorder="1"/>
    <xf numFmtId="167" fontId="5" fillId="2" borderId="0" xfId="0" applyNumberFormat="1" applyFont="1" applyFill="1"/>
    <xf numFmtId="166" fontId="14" fillId="0" borderId="26" xfId="0" applyNumberFormat="1" applyFont="1" applyBorder="1" applyAlignment="1">
      <alignment horizontal="right" wrapText="1"/>
    </xf>
    <xf numFmtId="166" fontId="14" fillId="0" borderId="27" xfId="0" applyNumberFormat="1" applyFont="1" applyBorder="1" applyAlignment="1">
      <alignment horizontal="right" wrapText="1"/>
    </xf>
    <xf numFmtId="1" fontId="14" fillId="0" borderId="11" xfId="0" applyNumberFormat="1" applyFont="1" applyBorder="1" applyAlignment="1">
      <alignment horizontal="left" wrapText="1"/>
    </xf>
    <xf numFmtId="166" fontId="14" fillId="0" borderId="11" xfId="0" applyNumberFormat="1" applyFont="1" applyBorder="1" applyAlignment="1">
      <alignment wrapText="1"/>
    </xf>
    <xf numFmtId="166" fontId="14" fillId="0" borderId="13" xfId="0" applyNumberFormat="1" applyFont="1" applyBorder="1" applyAlignment="1">
      <alignment horizontal="right" wrapText="1"/>
    </xf>
    <xf numFmtId="0" fontId="8" fillId="0" borderId="13" xfId="0" applyFont="1" applyBorder="1" applyAlignment="1">
      <alignment horizontal="centerContinuous" wrapText="1"/>
    </xf>
    <xf numFmtId="164" fontId="14" fillId="0" borderId="13" xfId="0" applyNumberFormat="1" applyFont="1" applyBorder="1" applyAlignment="1">
      <alignment horizontal="right" wrapText="1"/>
    </xf>
    <xf numFmtId="164" fontId="14" fillId="0" borderId="28" xfId="0" applyNumberFormat="1" applyFont="1" applyBorder="1" applyAlignment="1">
      <alignment horizontal="right" wrapText="1"/>
    </xf>
    <xf numFmtId="0" fontId="14" fillId="0" borderId="11" xfId="0" applyFont="1" applyBorder="1" applyAlignment="1">
      <alignment wrapText="1"/>
    </xf>
    <xf numFmtId="2" fontId="14" fillId="0" borderId="11" xfId="0" applyNumberFormat="1" applyFont="1" applyBorder="1" applyAlignment="1">
      <alignment horizontal="left" wrapText="1"/>
    </xf>
    <xf numFmtId="11" fontId="14" fillId="0" borderId="11" xfId="0" applyNumberFormat="1" applyFont="1" applyBorder="1" applyAlignment="1">
      <alignment wrapText="1"/>
    </xf>
    <xf numFmtId="164" fontId="14" fillId="0" borderId="16" xfId="0" applyNumberFormat="1" applyFont="1" applyBorder="1" applyAlignment="1">
      <alignment horizontal="center" wrapText="1"/>
    </xf>
    <xf numFmtId="166" fontId="4" fillId="6" borderId="2" xfId="0" applyNumberFormat="1" applyFont="1" applyFill="1" applyBorder="1" applyAlignment="1">
      <alignment horizontal="right"/>
    </xf>
    <xf numFmtId="1" fontId="14" fillId="0" borderId="13" xfId="0" applyNumberFormat="1" applyFont="1" applyBorder="1" applyAlignment="1">
      <alignment horizontal="centerContinuous" wrapText="1"/>
    </xf>
    <xf numFmtId="1" fontId="14" fillId="0" borderId="13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3" xfId="0" applyNumberFormat="1" applyFont="1" applyFill="1" applyBorder="1" applyAlignment="1">
      <alignment horizontal="right"/>
    </xf>
    <xf numFmtId="168" fontId="4" fillId="6" borderId="3" xfId="0" applyNumberFormat="1" applyFont="1" applyFill="1" applyBorder="1" applyAlignment="1">
      <alignment horizontal="right"/>
    </xf>
    <xf numFmtId="166" fontId="8" fillId="0" borderId="2" xfId="0" applyNumberFormat="1" applyFont="1" applyBorder="1" applyAlignment="1">
      <alignment horizontal="center"/>
    </xf>
    <xf numFmtId="171" fontId="4" fillId="6" borderId="3" xfId="0" applyNumberFormat="1" applyFont="1" applyFill="1" applyBorder="1" applyAlignment="1">
      <alignment horizontal="right"/>
    </xf>
    <xf numFmtId="49" fontId="14" fillId="0" borderId="11" xfId="0" applyNumberFormat="1" applyFont="1" applyBorder="1" applyAlignment="1">
      <alignment horizontal="right" wrapText="1"/>
    </xf>
    <xf numFmtId="2" fontId="4" fillId="8" borderId="3" xfId="0" applyNumberFormat="1" applyFont="1" applyFill="1" applyBorder="1" applyAlignment="1">
      <alignment horizontal="right" wrapText="1"/>
    </xf>
    <xf numFmtId="49" fontId="14" fillId="0" borderId="11" xfId="0" applyNumberFormat="1" applyFont="1" applyBorder="1" applyAlignment="1">
      <alignment horizontal="left" wrapText="1"/>
    </xf>
    <xf numFmtId="49" fontId="4" fillId="8" borderId="3" xfId="0" applyNumberFormat="1" applyFont="1" applyFill="1" applyBorder="1" applyAlignment="1">
      <alignment horizontal="right" wrapText="1"/>
    </xf>
    <xf numFmtId="49" fontId="4" fillId="8" borderId="2" xfId="0" applyNumberFormat="1" applyFont="1" applyFill="1" applyBorder="1" applyAlignment="1">
      <alignment horizontal="right" wrapText="1"/>
    </xf>
    <xf numFmtId="49" fontId="8" fillId="8" borderId="2" xfId="0" applyNumberFormat="1" applyFont="1" applyFill="1" applyBorder="1" applyAlignment="1">
      <alignment horizontal="right" wrapText="1"/>
    </xf>
    <xf numFmtId="49" fontId="4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0" fillId="0" borderId="0" xfId="0" applyNumberFormat="1" applyAlignment="1">
      <alignment wrapText="1"/>
    </xf>
    <xf numFmtId="0" fontId="8" fillId="8" borderId="0" xfId="0" applyFont="1" applyFill="1" applyAlignment="1">
      <alignment horizontal="right" wrapText="1"/>
    </xf>
    <xf numFmtId="167" fontId="12" fillId="2" borderId="0" xfId="0" applyNumberFormat="1" applyFont="1" applyFill="1"/>
    <xf numFmtId="0" fontId="6" fillId="2" borderId="0" xfId="0" applyFont="1" applyFill="1"/>
    <xf numFmtId="0" fontId="18" fillId="0" borderId="0" xfId="0" applyFont="1"/>
  </cellXfs>
  <cellStyles count="9">
    <cellStyle name="Comma0" xfId="1" xr:uid="{3A27E03A-2B24-4952-8480-F2B5265B10C7}"/>
    <cellStyle name="Currency0" xfId="2" xr:uid="{19DD6653-219E-45E6-96BE-512DF79B3AEC}"/>
    <cellStyle name="Date" xfId="3" xr:uid="{E451ED6A-DE77-44C2-9CF6-FCBC60450F22}"/>
    <cellStyle name="Fixed" xfId="4" xr:uid="{D55B0E39-B070-4460-B48E-280720DCEE96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pa.gov/nrmrl/std/cppb/qsa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ater.epa.gov/scitech/swguidance/standards/criteria/current/hhfinal.cfm" TargetMode="External"/><Relationship Id="rId2" Type="http://schemas.openxmlformats.org/officeDocument/2006/relationships/hyperlink" Target="http://water.epa.gov/scitech/swguidance/standards/criteria/current/loader.cfm?csModule=security/getfile&amp;PageID=717638" TargetMode="External"/><Relationship Id="rId1" Type="http://schemas.openxmlformats.org/officeDocument/2006/relationships/hyperlink" Target="http://water.epa.gov/scitech/swguidance/standards/criteria/current/index.cfm" TargetMode="External"/><Relationship Id="rId5" Type="http://schemas.openxmlformats.org/officeDocument/2006/relationships/hyperlink" Target="http://cfpub.epa.gov/ecotox/" TargetMode="External"/><Relationship Id="rId4" Type="http://schemas.openxmlformats.org/officeDocument/2006/relationships/hyperlink" Target="http://www.epa.gov/nrmrl/std/qsar/qs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8AB47-2F19-437E-A830-A2E45070DE5B}">
  <sheetPr>
    <pageSetUpPr fitToPage="1"/>
  </sheetPr>
  <dimension ref="A1:M4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7.109375" defaultRowHeight="15"/>
  <cols>
    <col min="1" max="1" width="32.5546875" style="3" customWidth="1"/>
    <col min="2" max="2" width="14.77734375" style="3" customWidth="1"/>
    <col min="3" max="3" width="7" style="51" customWidth="1"/>
    <col min="4" max="4" width="9.109375" style="51" customWidth="1"/>
    <col min="5" max="5" width="13.5546875" style="52" customWidth="1"/>
    <col min="6" max="6" width="8.33203125" style="53" customWidth="1"/>
    <col min="7" max="7" width="6.6640625" style="53" customWidth="1"/>
    <col min="8" max="8" width="14.6640625" style="52" customWidth="1"/>
    <col min="9" max="9" width="5.21875" style="8" bestFit="1" customWidth="1"/>
    <col min="10" max="10" width="15.5546875" style="8" customWidth="1"/>
    <col min="11" max="11" width="6.6640625" style="94" customWidth="1"/>
    <col min="12" max="12" width="8" style="94" customWidth="1"/>
    <col min="13" max="13" width="12" style="8" customWidth="1"/>
    <col min="14" max="16384" width="7.109375" style="3"/>
  </cols>
  <sheetData>
    <row r="1" spans="1:13" s="9" customFormat="1" ht="50.25" thickTop="1" thickBot="1">
      <c r="A1" s="180" t="s">
        <v>4</v>
      </c>
      <c r="B1" s="180" t="s">
        <v>8</v>
      </c>
      <c r="C1" s="181" t="s">
        <v>305</v>
      </c>
      <c r="D1" s="181" t="s">
        <v>295</v>
      </c>
      <c r="E1" s="41" t="s">
        <v>299</v>
      </c>
      <c r="F1" s="182" t="s">
        <v>306</v>
      </c>
      <c r="G1" s="182" t="s">
        <v>304</v>
      </c>
      <c r="H1" s="42" t="s">
        <v>155</v>
      </c>
      <c r="I1" s="183" t="s">
        <v>81</v>
      </c>
      <c r="J1" s="178" t="s">
        <v>296</v>
      </c>
      <c r="K1" s="185" t="s">
        <v>161</v>
      </c>
      <c r="L1" s="186" t="s">
        <v>162</v>
      </c>
      <c r="M1" s="178" t="s">
        <v>297</v>
      </c>
    </row>
    <row r="2" spans="1:13" ht="22.5">
      <c r="A2" s="43" t="s">
        <v>116</v>
      </c>
      <c r="B2" s="43" t="s">
        <v>117</v>
      </c>
      <c r="C2" s="44">
        <v>610</v>
      </c>
      <c r="D2" s="44">
        <v>610</v>
      </c>
      <c r="E2" s="150" t="s">
        <v>308</v>
      </c>
      <c r="F2" s="45">
        <v>0.3</v>
      </c>
      <c r="G2" s="45">
        <v>0.3</v>
      </c>
      <c r="H2" s="150" t="s">
        <v>158</v>
      </c>
      <c r="I2" s="6">
        <v>1</v>
      </c>
      <c r="J2" s="100">
        <f>(G2*15*1000*I2)/(0.64+(0.0056*D2))</f>
        <v>1109.4674556213017</v>
      </c>
      <c r="K2" s="187"/>
      <c r="L2" s="187"/>
      <c r="M2" s="100">
        <f>(G2*15*1000*I2)/(0.0056*D2)</f>
        <v>1317.3302107728337</v>
      </c>
    </row>
    <row r="3" spans="1:13">
      <c r="A3" s="46" t="s">
        <v>118</v>
      </c>
      <c r="B3" s="46" t="s">
        <v>269</v>
      </c>
      <c r="C3" s="5">
        <v>1</v>
      </c>
      <c r="D3" s="5">
        <v>1</v>
      </c>
      <c r="E3" s="134" t="s">
        <v>159</v>
      </c>
      <c r="F3" s="4">
        <v>4.0000000000000002E-4</v>
      </c>
      <c r="G3" s="4">
        <v>4.0000000000000002E-4</v>
      </c>
      <c r="H3" s="134" t="s">
        <v>158</v>
      </c>
      <c r="I3" s="2">
        <v>1</v>
      </c>
      <c r="J3" s="6">
        <f>(G3*15*1000*I3)/(0.64+(0.0056*D3))</f>
        <v>9.2936802973977688</v>
      </c>
      <c r="K3" s="70">
        <v>6</v>
      </c>
      <c r="L3" s="188">
        <v>6</v>
      </c>
      <c r="M3" s="100">
        <f t="shared" ref="M3:M38" si="0">(G3*15*1000*I3)/(0.0056*D3)</f>
        <v>1071.4285714285713</v>
      </c>
    </row>
    <row r="4" spans="1:13">
      <c r="A4" s="46" t="s">
        <v>182</v>
      </c>
      <c r="B4" s="46" t="s">
        <v>183</v>
      </c>
      <c r="C4" s="5">
        <v>159.55000000000001</v>
      </c>
      <c r="D4" s="5">
        <v>159.55000000000001</v>
      </c>
      <c r="E4" s="134" t="s">
        <v>197</v>
      </c>
      <c r="F4" s="4">
        <v>0.2</v>
      </c>
      <c r="G4" s="4">
        <v>0.2</v>
      </c>
      <c r="H4" s="134" t="s">
        <v>158</v>
      </c>
      <c r="I4" s="2">
        <v>1</v>
      </c>
      <c r="J4" s="6">
        <f t="shared" ref="J4:J38" si="1">(G4*15*1000*I4)/(0.64+(0.0056*D4))</f>
        <v>1956.3346114719461</v>
      </c>
      <c r="K4" s="70">
        <v>2000</v>
      </c>
      <c r="L4" s="188">
        <v>2000</v>
      </c>
      <c r="M4" s="6">
        <f t="shared" si="0"/>
        <v>3357.6576979898819</v>
      </c>
    </row>
    <row r="5" spans="1:13" ht="22.5">
      <c r="A5" s="46" t="s">
        <v>82</v>
      </c>
      <c r="B5" s="46" t="s">
        <v>83</v>
      </c>
      <c r="C5" s="5">
        <v>19.57</v>
      </c>
      <c r="D5" s="5">
        <v>19.57</v>
      </c>
      <c r="E5" s="134" t="s">
        <v>308</v>
      </c>
      <c r="F5" s="4">
        <v>0.02</v>
      </c>
      <c r="G5" s="4">
        <v>0.02</v>
      </c>
      <c r="H5" s="134" t="s">
        <v>158</v>
      </c>
      <c r="I5" s="2">
        <v>1</v>
      </c>
      <c r="J5" s="6">
        <f t="shared" si="1"/>
        <v>400.21771843883073</v>
      </c>
      <c r="K5" s="70">
        <v>100</v>
      </c>
      <c r="L5" s="188">
        <v>100</v>
      </c>
      <c r="M5" s="100">
        <f t="shared" si="0"/>
        <v>2737.4260894955837</v>
      </c>
    </row>
    <row r="6" spans="1:13" ht="22.5">
      <c r="A6" s="46" t="s">
        <v>32</v>
      </c>
      <c r="B6" s="46" t="s">
        <v>33</v>
      </c>
      <c r="C6" s="5">
        <v>3.48</v>
      </c>
      <c r="D6" s="5">
        <v>3.48</v>
      </c>
      <c r="E6" s="134" t="s">
        <v>308</v>
      </c>
      <c r="F6" s="4">
        <v>0.01</v>
      </c>
      <c r="G6" s="4">
        <v>0.01</v>
      </c>
      <c r="H6" s="134" t="s">
        <v>158</v>
      </c>
      <c r="I6" s="2">
        <v>1</v>
      </c>
      <c r="J6" s="6">
        <f t="shared" si="1"/>
        <v>227.44917269154254</v>
      </c>
      <c r="K6" s="70">
        <v>70</v>
      </c>
      <c r="L6" s="188">
        <v>70</v>
      </c>
      <c r="M6" s="100">
        <f t="shared" si="0"/>
        <v>7697.0443349753705</v>
      </c>
    </row>
    <row r="7" spans="1:13">
      <c r="A7" s="46" t="s">
        <v>163</v>
      </c>
      <c r="B7" s="46" t="s">
        <v>84</v>
      </c>
      <c r="C7" s="5">
        <v>16</v>
      </c>
      <c r="D7" s="5">
        <v>16</v>
      </c>
      <c r="E7" s="134" t="s">
        <v>159</v>
      </c>
      <c r="F7" s="4">
        <v>3.0000000000000001E-3</v>
      </c>
      <c r="G7" s="4">
        <v>3.0000000000000001E-3</v>
      </c>
      <c r="H7" s="134" t="s">
        <v>158</v>
      </c>
      <c r="I7" s="2">
        <v>1</v>
      </c>
      <c r="J7" s="100">
        <f t="shared" si="1"/>
        <v>61.677631578947363</v>
      </c>
      <c r="K7" s="70">
        <v>100</v>
      </c>
      <c r="L7" s="189">
        <v>100</v>
      </c>
      <c r="M7" s="100">
        <f t="shared" si="0"/>
        <v>502.23214285714289</v>
      </c>
    </row>
    <row r="8" spans="1:13" ht="45">
      <c r="A8" s="46" t="s">
        <v>85</v>
      </c>
      <c r="B8" s="46" t="s">
        <v>30</v>
      </c>
      <c r="C8" s="5">
        <v>14.4</v>
      </c>
      <c r="D8" s="5">
        <v>14.4</v>
      </c>
      <c r="E8" s="132" t="s">
        <v>197</v>
      </c>
      <c r="F8" s="4">
        <v>0.05</v>
      </c>
      <c r="G8" s="4">
        <v>0.05</v>
      </c>
      <c r="H8" s="134" t="s">
        <v>275</v>
      </c>
      <c r="I8" s="2">
        <v>1</v>
      </c>
      <c r="J8" s="100">
        <f t="shared" si="1"/>
        <v>1040.741563055062</v>
      </c>
      <c r="K8" s="70"/>
      <c r="L8" s="187"/>
      <c r="M8" s="100">
        <f t="shared" si="0"/>
        <v>9300.5952380952385</v>
      </c>
    </row>
    <row r="9" spans="1:13" ht="33.75">
      <c r="A9" s="46" t="s">
        <v>86</v>
      </c>
      <c r="B9" s="46" t="s">
        <v>87</v>
      </c>
      <c r="C9" s="5">
        <v>1</v>
      </c>
      <c r="D9" s="5">
        <v>1</v>
      </c>
      <c r="E9" s="134" t="s">
        <v>263</v>
      </c>
      <c r="F9" s="4">
        <v>5.9999999999999995E-4</v>
      </c>
      <c r="G9" s="4">
        <v>5.9999999999999995E-4</v>
      </c>
      <c r="H9" s="134" t="s">
        <v>276</v>
      </c>
      <c r="I9" s="2">
        <v>1</v>
      </c>
      <c r="J9" s="6">
        <f t="shared" si="1"/>
        <v>13.940520446096652</v>
      </c>
      <c r="K9" s="70">
        <v>200</v>
      </c>
      <c r="L9" s="188">
        <v>200</v>
      </c>
      <c r="M9" s="6">
        <f t="shared" si="0"/>
        <v>1607.1428571428571</v>
      </c>
    </row>
    <row r="10" spans="1:13" ht="22.5">
      <c r="A10" s="46" t="s">
        <v>1</v>
      </c>
      <c r="B10" s="46" t="s">
        <v>88</v>
      </c>
      <c r="C10" s="5">
        <v>13</v>
      </c>
      <c r="D10" s="5">
        <v>13</v>
      </c>
      <c r="E10" s="134" t="s">
        <v>308</v>
      </c>
      <c r="F10" s="4">
        <v>0.01</v>
      </c>
      <c r="G10" s="4">
        <v>0.01</v>
      </c>
      <c r="H10" s="134" t="s">
        <v>158</v>
      </c>
      <c r="I10" s="2">
        <v>1</v>
      </c>
      <c r="J10" s="6">
        <f t="shared" si="1"/>
        <v>210.43771043771045</v>
      </c>
      <c r="K10" s="70">
        <v>70</v>
      </c>
      <c r="L10" s="188">
        <v>70</v>
      </c>
      <c r="M10" s="6">
        <f t="shared" si="0"/>
        <v>2060.4395604395604</v>
      </c>
    </row>
    <row r="11" spans="1:13" ht="22.5">
      <c r="A11" s="46" t="s">
        <v>6</v>
      </c>
      <c r="B11" s="46" t="s">
        <v>89</v>
      </c>
      <c r="C11" s="5">
        <v>141.6</v>
      </c>
      <c r="D11" s="5">
        <v>141.6</v>
      </c>
      <c r="E11" s="132" t="s">
        <v>167</v>
      </c>
      <c r="F11" s="4">
        <v>2.5000000000000001E-2</v>
      </c>
      <c r="G11" s="4">
        <v>2.5000000000000001E-2</v>
      </c>
      <c r="H11" s="132" t="s">
        <v>158</v>
      </c>
      <c r="I11" s="2">
        <v>1</v>
      </c>
      <c r="J11" s="100">
        <f t="shared" si="1"/>
        <v>261.69606967396157</v>
      </c>
      <c r="K11" s="70"/>
      <c r="L11" s="187"/>
      <c r="M11" s="100">
        <f t="shared" si="0"/>
        <v>472.91162227602905</v>
      </c>
    </row>
    <row r="12" spans="1:13" ht="67.5">
      <c r="A12" s="112" t="s">
        <v>121</v>
      </c>
      <c r="B12" s="46" t="s">
        <v>122</v>
      </c>
      <c r="C12" s="5">
        <v>135</v>
      </c>
      <c r="D12" s="5">
        <v>135</v>
      </c>
      <c r="E12" s="134" t="s">
        <v>308</v>
      </c>
      <c r="F12" s="4">
        <v>0.03</v>
      </c>
      <c r="G12" s="4">
        <v>0.03</v>
      </c>
      <c r="H12" s="134" t="s">
        <v>285</v>
      </c>
      <c r="I12" s="2">
        <v>1</v>
      </c>
      <c r="J12" s="100">
        <f t="shared" si="1"/>
        <v>322.34957020057305</v>
      </c>
      <c r="K12" s="70"/>
      <c r="L12" s="187"/>
      <c r="M12" s="100">
        <f t="shared" si="0"/>
        <v>595.23809523809518</v>
      </c>
    </row>
    <row r="13" spans="1:13" ht="22.5">
      <c r="A13" s="112" t="s">
        <v>123</v>
      </c>
      <c r="B13" s="46" t="s">
        <v>124</v>
      </c>
      <c r="C13" s="5">
        <v>73.06</v>
      </c>
      <c r="D13" s="5">
        <v>73.06</v>
      </c>
      <c r="E13" s="134" t="s">
        <v>308</v>
      </c>
      <c r="F13" s="4">
        <v>0.09</v>
      </c>
      <c r="G13" s="4">
        <v>0.09</v>
      </c>
      <c r="H13" s="134" t="s">
        <v>158</v>
      </c>
      <c r="I13" s="2">
        <v>1</v>
      </c>
      <c r="J13" s="6">
        <f t="shared" si="1"/>
        <v>1286.7731161641577</v>
      </c>
      <c r="K13" s="70">
        <v>600</v>
      </c>
      <c r="L13" s="188">
        <v>600</v>
      </c>
      <c r="M13" s="100">
        <f t="shared" si="0"/>
        <v>3299.6363067537441</v>
      </c>
    </row>
    <row r="14" spans="1:13" ht="22.5">
      <c r="A14" s="112" t="s">
        <v>90</v>
      </c>
      <c r="B14" s="46" t="s">
        <v>91</v>
      </c>
      <c r="C14" s="48">
        <v>69</v>
      </c>
      <c r="D14" s="48">
        <v>69</v>
      </c>
      <c r="E14" s="134" t="s">
        <v>308</v>
      </c>
      <c r="F14" s="124">
        <v>7.0000000000000007E-2</v>
      </c>
      <c r="G14" s="124">
        <v>7.0000000000000007E-2</v>
      </c>
      <c r="H14" s="151" t="s">
        <v>270</v>
      </c>
      <c r="I14" s="125">
        <v>1</v>
      </c>
      <c r="J14" s="6">
        <f t="shared" si="1"/>
        <v>1022.9929851909587</v>
      </c>
      <c r="K14" s="70">
        <v>75</v>
      </c>
      <c r="L14" s="188">
        <v>75</v>
      </c>
      <c r="M14" s="6">
        <f t="shared" si="0"/>
        <v>2717.391304347826</v>
      </c>
    </row>
    <row r="15" spans="1:13" ht="22.5">
      <c r="A15" s="46" t="s">
        <v>44</v>
      </c>
      <c r="B15" s="46" t="s">
        <v>45</v>
      </c>
      <c r="C15" s="5">
        <v>2.4300000000000002</v>
      </c>
      <c r="D15" s="5">
        <v>2.4300000000000002</v>
      </c>
      <c r="E15" s="134" t="s">
        <v>308</v>
      </c>
      <c r="F15" s="4">
        <v>0.05</v>
      </c>
      <c r="G15" s="4">
        <v>0.05</v>
      </c>
      <c r="H15" s="134" t="s">
        <v>158</v>
      </c>
      <c r="I15" s="2">
        <v>1</v>
      </c>
      <c r="J15" s="6">
        <f t="shared" si="1"/>
        <v>1147.4767750700726</v>
      </c>
      <c r="K15" s="70">
        <v>7</v>
      </c>
      <c r="L15" s="188">
        <v>7</v>
      </c>
      <c r="M15" s="100">
        <f t="shared" si="0"/>
        <v>55114.638447971782</v>
      </c>
    </row>
    <row r="16" spans="1:13" ht="22.5">
      <c r="A16" s="46" t="s">
        <v>132</v>
      </c>
      <c r="B16" s="46" t="s">
        <v>133</v>
      </c>
      <c r="C16" s="5">
        <v>6.35</v>
      </c>
      <c r="D16" s="5">
        <v>6.35</v>
      </c>
      <c r="E16" s="134" t="s">
        <v>308</v>
      </c>
      <c r="F16" s="4">
        <v>0.02</v>
      </c>
      <c r="G16" s="4">
        <v>0.02</v>
      </c>
      <c r="H16" s="134" t="s">
        <v>158</v>
      </c>
      <c r="I16" s="2">
        <v>1</v>
      </c>
      <c r="J16" s="100">
        <f t="shared" si="1"/>
        <v>444.07602581561957</v>
      </c>
      <c r="K16" s="70"/>
      <c r="L16" s="187"/>
      <c r="M16" s="100">
        <f t="shared" si="0"/>
        <v>8436.4454443194609</v>
      </c>
    </row>
    <row r="17" spans="1:13" ht="22.5">
      <c r="A17" s="46" t="s">
        <v>130</v>
      </c>
      <c r="B17" s="46" t="s">
        <v>131</v>
      </c>
      <c r="C17" s="5">
        <v>2900</v>
      </c>
      <c r="D17" s="5">
        <v>2900</v>
      </c>
      <c r="E17" s="134" t="s">
        <v>308</v>
      </c>
      <c r="F17" s="4">
        <v>0.1</v>
      </c>
      <c r="G17" s="4">
        <v>0.1</v>
      </c>
      <c r="H17" s="134" t="s">
        <v>158</v>
      </c>
      <c r="I17" s="2">
        <v>1</v>
      </c>
      <c r="J17" s="100">
        <f t="shared" si="1"/>
        <v>88.862559241706165</v>
      </c>
      <c r="K17" s="70"/>
      <c r="L17" s="187"/>
      <c r="M17" s="100">
        <f t="shared" si="0"/>
        <v>92.364532019704441</v>
      </c>
    </row>
    <row r="18" spans="1:13" ht="22.5">
      <c r="A18" s="46" t="s">
        <v>92</v>
      </c>
      <c r="B18" s="46" t="s">
        <v>93</v>
      </c>
      <c r="C18" s="5">
        <v>37021</v>
      </c>
      <c r="D18" s="5">
        <v>37021</v>
      </c>
      <c r="E18" s="134" t="s">
        <v>308</v>
      </c>
      <c r="F18" s="4">
        <v>2.9999999999999997E-4</v>
      </c>
      <c r="G18" s="4">
        <v>2.9999999999999997E-4</v>
      </c>
      <c r="H18" s="134" t="s">
        <v>158</v>
      </c>
      <c r="I18" s="2">
        <v>1</v>
      </c>
      <c r="J18" s="100">
        <f t="shared" si="1"/>
        <v>2.1639026416923453E-2</v>
      </c>
      <c r="K18" s="70">
        <v>2</v>
      </c>
      <c r="L18" s="70">
        <v>2</v>
      </c>
      <c r="M18" s="100">
        <f t="shared" si="0"/>
        <v>2.1705827194603834E-2</v>
      </c>
    </row>
    <row r="19" spans="1:13" ht="22.5">
      <c r="A19" s="46" t="s">
        <v>134</v>
      </c>
      <c r="B19" s="46" t="s">
        <v>135</v>
      </c>
      <c r="C19" s="5">
        <v>143.41999999999999</v>
      </c>
      <c r="D19" s="5">
        <v>143.41999999999999</v>
      </c>
      <c r="E19" s="134" t="s">
        <v>308</v>
      </c>
      <c r="F19" s="4">
        <v>0.1</v>
      </c>
      <c r="G19" s="4">
        <v>0.1</v>
      </c>
      <c r="H19" s="134" t="s">
        <v>158</v>
      </c>
      <c r="I19" s="2">
        <v>1</v>
      </c>
      <c r="J19" s="6">
        <f t="shared" si="1"/>
        <v>1039.3915540428175</v>
      </c>
      <c r="K19" s="70">
        <v>700</v>
      </c>
      <c r="L19" s="188">
        <v>700</v>
      </c>
      <c r="M19" s="100">
        <f t="shared" si="0"/>
        <v>1867.6414925194733</v>
      </c>
    </row>
    <row r="20" spans="1:13">
      <c r="A20" s="46" t="s">
        <v>186</v>
      </c>
      <c r="B20" s="46" t="s">
        <v>187</v>
      </c>
      <c r="C20" s="5">
        <v>0.31900000000000001</v>
      </c>
      <c r="D20" s="5">
        <v>0.31900000000000001</v>
      </c>
      <c r="E20" s="134" t="s">
        <v>197</v>
      </c>
      <c r="F20" s="4">
        <v>2</v>
      </c>
      <c r="G20" s="4">
        <v>2</v>
      </c>
      <c r="H20" s="134" t="s">
        <v>158</v>
      </c>
      <c r="I20" s="2">
        <v>1</v>
      </c>
      <c r="J20" s="100">
        <f t="shared" si="1"/>
        <v>46744.52434641806</v>
      </c>
      <c r="K20" s="187"/>
      <c r="L20" s="187"/>
      <c r="M20" s="100">
        <f>(G20*15*1000*I20)/(0.0056*D20)</f>
        <v>16793551.276309896</v>
      </c>
    </row>
    <row r="21" spans="1:13" ht="22.5">
      <c r="A21" s="112" t="s">
        <v>71</v>
      </c>
      <c r="B21" s="46" t="s">
        <v>160</v>
      </c>
      <c r="C21" s="5">
        <v>2357</v>
      </c>
      <c r="D21" s="5">
        <v>2357</v>
      </c>
      <c r="E21" s="134" t="s">
        <v>308</v>
      </c>
      <c r="F21" s="4">
        <v>2.9999999999999997E-4</v>
      </c>
      <c r="G21" s="4">
        <v>2.9999999999999997E-4</v>
      </c>
      <c r="H21" s="134" t="s">
        <v>158</v>
      </c>
      <c r="I21" s="2">
        <v>1</v>
      </c>
      <c r="J21" s="6">
        <f t="shared" si="1"/>
        <v>0.32516330423723916</v>
      </c>
      <c r="K21" s="187">
        <v>0.2</v>
      </c>
      <c r="L21" s="189">
        <v>0.2</v>
      </c>
      <c r="M21" s="100">
        <f t="shared" si="0"/>
        <v>0.34092975331838293</v>
      </c>
    </row>
    <row r="22" spans="1:13" ht="22.5">
      <c r="A22" s="49" t="s">
        <v>136</v>
      </c>
      <c r="B22" s="43" t="s">
        <v>137</v>
      </c>
      <c r="C22" s="48">
        <v>1388</v>
      </c>
      <c r="D22" s="48">
        <v>1388</v>
      </c>
      <c r="E22" s="134" t="s">
        <v>308</v>
      </c>
      <c r="F22" s="45">
        <v>6.0000000000000001E-3</v>
      </c>
      <c r="G22" s="45">
        <v>6.0000000000000001E-3</v>
      </c>
      <c r="H22" s="150" t="s">
        <v>158</v>
      </c>
      <c r="I22" s="6">
        <v>1</v>
      </c>
      <c r="J22" s="100">
        <f t="shared" si="1"/>
        <v>10.697984024343857</v>
      </c>
      <c r="K22" s="187">
        <v>50</v>
      </c>
      <c r="L22" s="187">
        <v>50</v>
      </c>
      <c r="M22" s="100">
        <f t="shared" si="0"/>
        <v>11.578839028406751</v>
      </c>
    </row>
    <row r="23" spans="1:13">
      <c r="A23" s="46" t="s">
        <v>94</v>
      </c>
      <c r="B23" s="46" t="s">
        <v>95</v>
      </c>
      <c r="C23" s="5">
        <v>278</v>
      </c>
      <c r="D23" s="5">
        <v>278</v>
      </c>
      <c r="E23" s="132" t="s">
        <v>197</v>
      </c>
      <c r="F23" s="4">
        <v>2.9999999999999997E-4</v>
      </c>
      <c r="G23" s="4">
        <v>2.9999999999999997E-4</v>
      </c>
      <c r="H23" s="132" t="s">
        <v>158</v>
      </c>
      <c r="I23" s="2">
        <v>1</v>
      </c>
      <c r="J23" s="100">
        <f t="shared" si="1"/>
        <v>2.0484340859431902</v>
      </c>
      <c r="K23" s="70"/>
      <c r="L23" s="187"/>
      <c r="M23" s="100">
        <f t="shared" si="0"/>
        <v>2.8905447070914696</v>
      </c>
    </row>
    <row r="24" spans="1:13">
      <c r="A24" s="46" t="s">
        <v>226</v>
      </c>
      <c r="B24" s="46" t="s">
        <v>174</v>
      </c>
      <c r="C24" s="5">
        <v>8.3800000000000008</v>
      </c>
      <c r="D24" s="5">
        <v>8.3800000000000008</v>
      </c>
      <c r="E24" s="134" t="s">
        <v>197</v>
      </c>
      <c r="F24" s="4">
        <v>0.05</v>
      </c>
      <c r="G24" s="4">
        <v>0.05</v>
      </c>
      <c r="H24" s="132" t="s">
        <v>158</v>
      </c>
      <c r="I24" s="2">
        <v>1</v>
      </c>
      <c r="J24" s="100">
        <f t="shared" si="1"/>
        <v>1091.8174830549926</v>
      </c>
      <c r="K24" s="70"/>
      <c r="L24" s="187"/>
      <c r="M24" s="100">
        <f t="shared" si="0"/>
        <v>15981.929764745992</v>
      </c>
    </row>
    <row r="25" spans="1:13" ht="45">
      <c r="A25" s="46" t="s">
        <v>96</v>
      </c>
      <c r="B25" s="46" t="s">
        <v>97</v>
      </c>
      <c r="C25" s="5">
        <v>49</v>
      </c>
      <c r="D25" s="5">
        <v>49</v>
      </c>
      <c r="E25" s="132" t="s">
        <v>166</v>
      </c>
      <c r="F25" s="4">
        <v>6.9999999999999994E-5</v>
      </c>
      <c r="G25" s="4">
        <v>6.9999999999999994E-5</v>
      </c>
      <c r="H25" s="202" t="s">
        <v>168</v>
      </c>
      <c r="I25" s="2">
        <v>1</v>
      </c>
      <c r="J25" s="100">
        <f t="shared" si="1"/>
        <v>1.1482939632545932</v>
      </c>
      <c r="K25" s="70"/>
      <c r="L25" s="187"/>
      <c r="M25" s="100">
        <f t="shared" si="0"/>
        <v>3.8265306122448983</v>
      </c>
    </row>
    <row r="26" spans="1:13" ht="22.5">
      <c r="A26" s="46" t="s">
        <v>98</v>
      </c>
      <c r="B26" s="46" t="s">
        <v>99</v>
      </c>
      <c r="C26" s="5">
        <v>4478</v>
      </c>
      <c r="D26" s="5">
        <v>4478</v>
      </c>
      <c r="E26" s="134" t="s">
        <v>308</v>
      </c>
      <c r="F26" s="4">
        <v>5.0000000000000001E-3</v>
      </c>
      <c r="G26" s="4">
        <v>5.0000000000000001E-3</v>
      </c>
      <c r="H26" s="134" t="s">
        <v>158</v>
      </c>
      <c r="I26" s="2">
        <v>1</v>
      </c>
      <c r="J26" s="100">
        <f t="shared" si="1"/>
        <v>2.916381509363529</v>
      </c>
      <c r="K26" s="70">
        <v>40</v>
      </c>
      <c r="L26" s="70">
        <v>40</v>
      </c>
      <c r="M26" s="100">
        <f t="shared" si="0"/>
        <v>2.9908122248452753</v>
      </c>
    </row>
    <row r="27" spans="1:13" ht="22.5">
      <c r="A27" s="46" t="s">
        <v>100</v>
      </c>
      <c r="B27" s="46" t="s">
        <v>101</v>
      </c>
      <c r="C27" s="5">
        <v>1.62</v>
      </c>
      <c r="D27" s="5">
        <v>1.62</v>
      </c>
      <c r="E27" s="132" t="s">
        <v>167</v>
      </c>
      <c r="F27" s="4">
        <v>0.6</v>
      </c>
      <c r="G27" s="4">
        <v>0.6</v>
      </c>
      <c r="H27" s="132" t="s">
        <v>158</v>
      </c>
      <c r="I27" s="2">
        <v>1</v>
      </c>
      <c r="J27" s="100">
        <f t="shared" si="1"/>
        <v>13865.950156531171</v>
      </c>
      <c r="K27" s="70"/>
      <c r="L27" s="187"/>
      <c r="M27" s="100">
        <f t="shared" si="0"/>
        <v>992063.49206349207</v>
      </c>
    </row>
    <row r="28" spans="1:13" ht="22.5">
      <c r="A28" s="46" t="s">
        <v>138</v>
      </c>
      <c r="B28" s="46" t="s">
        <v>165</v>
      </c>
      <c r="C28" s="5">
        <v>47</v>
      </c>
      <c r="D28" s="5">
        <v>47</v>
      </c>
      <c r="E28" s="132" t="s">
        <v>159</v>
      </c>
      <c r="F28" s="4">
        <v>0.02</v>
      </c>
      <c r="G28" s="4">
        <v>0.02</v>
      </c>
      <c r="H28" s="134" t="s">
        <v>277</v>
      </c>
      <c r="I28" s="2">
        <v>1</v>
      </c>
      <c r="J28" s="100">
        <f t="shared" si="1"/>
        <v>332.15234720992026</v>
      </c>
      <c r="K28" s="70"/>
      <c r="L28" s="187"/>
      <c r="M28" s="100">
        <f t="shared" si="0"/>
        <v>1139.8176291793313</v>
      </c>
    </row>
    <row r="29" spans="1:13" ht="22.5">
      <c r="A29" s="46" t="s">
        <v>102</v>
      </c>
      <c r="B29" s="46" t="s">
        <v>103</v>
      </c>
      <c r="C29" s="5">
        <v>2.86</v>
      </c>
      <c r="D29" s="5">
        <v>2.86</v>
      </c>
      <c r="E29" s="134" t="s">
        <v>308</v>
      </c>
      <c r="F29" s="4">
        <v>2E-3</v>
      </c>
      <c r="G29" s="4">
        <v>2E-3</v>
      </c>
      <c r="H29" s="132" t="s">
        <v>158</v>
      </c>
      <c r="I29" s="2">
        <v>1</v>
      </c>
      <c r="J29" s="100">
        <f t="shared" si="1"/>
        <v>45.730591936782027</v>
      </c>
      <c r="K29" s="70"/>
      <c r="L29" s="187"/>
      <c r="M29" s="100">
        <f t="shared" si="0"/>
        <v>1873.1268731268733</v>
      </c>
    </row>
    <row r="30" spans="1:13" ht="22.5">
      <c r="A30" s="46" t="s">
        <v>104</v>
      </c>
      <c r="B30" s="46" t="s">
        <v>105</v>
      </c>
      <c r="C30" s="5">
        <v>6045</v>
      </c>
      <c r="D30" s="5">
        <v>6045</v>
      </c>
      <c r="E30" s="134" t="s">
        <v>308</v>
      </c>
      <c r="F30" s="4">
        <v>8.0000000000000004E-4</v>
      </c>
      <c r="G30" s="4">
        <v>8.0000000000000004E-4</v>
      </c>
      <c r="H30" s="132" t="s">
        <v>158</v>
      </c>
      <c r="I30" s="2">
        <v>1</v>
      </c>
      <c r="J30" s="100">
        <f t="shared" si="1"/>
        <v>0.34790676098805523</v>
      </c>
      <c r="K30" s="70"/>
      <c r="L30" s="187"/>
      <c r="M30" s="100">
        <f t="shared" si="0"/>
        <v>0.35448422545196739</v>
      </c>
    </row>
    <row r="31" spans="1:13" ht="22.5">
      <c r="A31" s="46" t="s">
        <v>60</v>
      </c>
      <c r="B31" s="46" t="s">
        <v>106</v>
      </c>
      <c r="C31" s="5">
        <v>2.83</v>
      </c>
      <c r="D31" s="5">
        <v>2.83</v>
      </c>
      <c r="E31" s="132" t="s">
        <v>167</v>
      </c>
      <c r="F31" s="4">
        <v>1E-3</v>
      </c>
      <c r="G31" s="4">
        <v>1E-3</v>
      </c>
      <c r="H31" s="132" t="s">
        <v>158</v>
      </c>
      <c r="I31" s="2">
        <v>1</v>
      </c>
      <c r="J31" s="100">
        <f t="shared" si="1"/>
        <v>22.871153072053282</v>
      </c>
      <c r="K31" s="70"/>
      <c r="L31" s="187"/>
      <c r="M31" s="100">
        <f t="shared" si="0"/>
        <v>946.49167087329624</v>
      </c>
    </row>
    <row r="32" spans="1:13">
      <c r="A32" s="46" t="s">
        <v>107</v>
      </c>
      <c r="B32" s="46" t="s">
        <v>108</v>
      </c>
      <c r="C32" s="5">
        <v>4.8</v>
      </c>
      <c r="D32" s="5">
        <v>4.8</v>
      </c>
      <c r="E32" s="132" t="s">
        <v>159</v>
      </c>
      <c r="F32" s="4">
        <v>5.0000000000000001E-3</v>
      </c>
      <c r="G32" s="4">
        <v>5.0000000000000001E-3</v>
      </c>
      <c r="H32" s="132" t="s">
        <v>158</v>
      </c>
      <c r="I32" s="2">
        <v>1</v>
      </c>
      <c r="J32" s="6">
        <f t="shared" si="1"/>
        <v>112.46401151631477</v>
      </c>
      <c r="K32" s="70">
        <v>50</v>
      </c>
      <c r="L32" s="188">
        <v>50</v>
      </c>
      <c r="M32" s="6">
        <f t="shared" si="0"/>
        <v>2790.1785714285716</v>
      </c>
    </row>
    <row r="33" spans="1:13" ht="22.5">
      <c r="A33" s="46" t="s">
        <v>109</v>
      </c>
      <c r="B33" s="46" t="s">
        <v>110</v>
      </c>
      <c r="C33" s="5">
        <v>3343</v>
      </c>
      <c r="D33" s="5">
        <v>3343</v>
      </c>
      <c r="E33" s="134" t="s">
        <v>308</v>
      </c>
      <c r="F33" s="4">
        <v>2.9999999999999997E-4</v>
      </c>
      <c r="G33" s="4">
        <v>2.9999999999999997E-4</v>
      </c>
      <c r="H33" s="132" t="s">
        <v>158</v>
      </c>
      <c r="I33" s="2">
        <v>1</v>
      </c>
      <c r="J33" s="100">
        <f t="shared" si="1"/>
        <v>0.23242841204908887</v>
      </c>
      <c r="K33" s="70"/>
      <c r="L33" s="187"/>
      <c r="M33" s="100">
        <f t="shared" si="0"/>
        <v>0.24037434297679586</v>
      </c>
    </row>
    <row r="34" spans="1:13" ht="22.5">
      <c r="A34" s="46" t="s">
        <v>140</v>
      </c>
      <c r="B34" s="46" t="s">
        <v>141</v>
      </c>
      <c r="C34" s="5">
        <v>116</v>
      </c>
      <c r="D34" s="5">
        <v>116</v>
      </c>
      <c r="E34" s="132" t="s">
        <v>159</v>
      </c>
      <c r="F34" s="4">
        <v>1.0000000000000001E-5</v>
      </c>
      <c r="G34" s="4">
        <v>1.0000000000000001E-5</v>
      </c>
      <c r="H34" s="132" t="s">
        <v>170</v>
      </c>
      <c r="I34" s="2">
        <v>1</v>
      </c>
      <c r="J34" s="100">
        <f t="shared" si="1"/>
        <v>0.11631513647642681</v>
      </c>
      <c r="K34" s="187">
        <v>2</v>
      </c>
      <c r="L34" s="187">
        <v>2</v>
      </c>
      <c r="M34" s="100">
        <f t="shared" si="0"/>
        <v>0.23091133004926112</v>
      </c>
    </row>
    <row r="35" spans="1:13" ht="22.5">
      <c r="A35" s="46" t="s">
        <v>142</v>
      </c>
      <c r="B35" s="46" t="s">
        <v>143</v>
      </c>
      <c r="C35" s="5">
        <v>15.34</v>
      </c>
      <c r="D35" s="5">
        <v>15.34</v>
      </c>
      <c r="E35" s="134" t="s">
        <v>308</v>
      </c>
      <c r="F35" s="4">
        <v>0.08</v>
      </c>
      <c r="G35" s="4">
        <v>0.08</v>
      </c>
      <c r="H35" s="134" t="s">
        <v>158</v>
      </c>
      <c r="I35" s="2">
        <v>1</v>
      </c>
      <c r="J35" s="6">
        <f t="shared" si="1"/>
        <v>1653.1111551940753</v>
      </c>
      <c r="K35" s="70">
        <v>1000</v>
      </c>
      <c r="L35" s="188">
        <v>1000</v>
      </c>
      <c r="M35" s="6">
        <f t="shared" si="0"/>
        <v>13969.081765691935</v>
      </c>
    </row>
    <row r="36" spans="1:13" ht="22.5">
      <c r="A36" s="46" t="s">
        <v>111</v>
      </c>
      <c r="B36" s="46" t="s">
        <v>112</v>
      </c>
      <c r="C36" s="5">
        <v>58</v>
      </c>
      <c r="D36" s="5">
        <v>58</v>
      </c>
      <c r="E36" s="134" t="s">
        <v>308</v>
      </c>
      <c r="F36" s="4">
        <v>8.0000000000000002E-3</v>
      </c>
      <c r="G36" s="4">
        <v>8.0000000000000002E-3</v>
      </c>
      <c r="H36" s="132" t="s">
        <v>158</v>
      </c>
      <c r="I36" s="2">
        <v>1</v>
      </c>
      <c r="J36" s="6">
        <f t="shared" si="1"/>
        <v>124.37810945273633</v>
      </c>
      <c r="K36" s="70">
        <v>50</v>
      </c>
      <c r="L36" s="188">
        <v>50</v>
      </c>
      <c r="M36" s="100">
        <f t="shared" si="0"/>
        <v>369.45812807881777</v>
      </c>
    </row>
    <row r="37" spans="1:13" ht="22.5">
      <c r="A37" s="46" t="s">
        <v>113</v>
      </c>
      <c r="B37" s="46" t="s">
        <v>114</v>
      </c>
      <c r="C37" s="5">
        <v>6.83</v>
      </c>
      <c r="D37" s="5">
        <v>6.83</v>
      </c>
      <c r="E37" s="134" t="s">
        <v>308</v>
      </c>
      <c r="F37" s="4">
        <v>2</v>
      </c>
      <c r="G37" s="4">
        <v>2</v>
      </c>
      <c r="H37" s="134" t="s">
        <v>284</v>
      </c>
      <c r="I37" s="2">
        <v>1</v>
      </c>
      <c r="J37" s="6">
        <f t="shared" si="1"/>
        <v>44231.608497186869</v>
      </c>
      <c r="K37" s="70">
        <v>200</v>
      </c>
      <c r="L37" s="188">
        <v>200</v>
      </c>
      <c r="M37" s="100">
        <f t="shared" si="0"/>
        <v>784354.73750261462</v>
      </c>
    </row>
    <row r="38" spans="1:13" ht="22.5">
      <c r="A38" s="46" t="s">
        <v>0</v>
      </c>
      <c r="B38" s="46" t="s">
        <v>115</v>
      </c>
      <c r="C38" s="5">
        <v>143.41999999999999</v>
      </c>
      <c r="D38" s="5">
        <v>143.41999999999999</v>
      </c>
      <c r="E38" s="134" t="s">
        <v>308</v>
      </c>
      <c r="F38" s="4">
        <v>0.1</v>
      </c>
      <c r="G38" s="4">
        <v>0.1</v>
      </c>
      <c r="H38" s="132" t="s">
        <v>158</v>
      </c>
      <c r="I38" s="2">
        <v>1</v>
      </c>
      <c r="J38" s="99">
        <f t="shared" si="1"/>
        <v>1039.3915540428175</v>
      </c>
      <c r="K38" s="70"/>
      <c r="L38" s="70"/>
      <c r="M38" s="99">
        <f t="shared" si="0"/>
        <v>1867.6414925194733</v>
      </c>
    </row>
    <row r="39" spans="1:13">
      <c r="A39" s="50"/>
    </row>
    <row r="40" spans="1:13">
      <c r="A40" s="121" t="s">
        <v>289</v>
      </c>
    </row>
    <row r="41" spans="1:13">
      <c r="A41" s="123" t="s">
        <v>272</v>
      </c>
    </row>
    <row r="42" spans="1:13">
      <c r="A42" s="155" t="s">
        <v>290</v>
      </c>
      <c r="B42" s="165"/>
    </row>
    <row r="43" spans="1:13">
      <c r="A43" s="55"/>
      <c r="D43" s="8"/>
    </row>
  </sheetData>
  <sheetProtection password="C460" sheet="1" sort="0"/>
  <phoneticPr fontId="1" type="noConversion"/>
  <printOptions gridLines="1"/>
  <pageMargins left="0.75" right="0.75" top="1" bottom="1" header="0.5" footer="0.5"/>
  <pageSetup scale="26" orientation="portrait" r:id="rId1"/>
  <headerFooter alignWithMargins="0">
    <oddHeader>&amp;L&amp;"Arial,Bold"&amp;12Comparison; Human Health 97WQS vs 99WQS</oddHeader>
    <oddFooter>&amp;L&amp;"Arial"&amp;8FINAL 8/10/99; TABLE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55BB-D500-4529-AE74-8F30C1E2F173}">
  <sheetPr>
    <pageSetUpPr fitToPage="1"/>
  </sheetPr>
  <dimension ref="A1:FF6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7.109375" defaultRowHeight="15"/>
  <cols>
    <col min="1" max="1" width="22" style="3" customWidth="1"/>
    <col min="2" max="2" width="10.88671875" style="3" customWidth="1"/>
    <col min="3" max="3" width="15.44140625" style="92" customWidth="1"/>
    <col min="4" max="4" width="11.33203125" style="92" customWidth="1"/>
    <col min="5" max="5" width="17.6640625" style="93" customWidth="1"/>
    <col min="6" max="6" width="7.44140625" style="94" customWidth="1"/>
    <col min="7" max="7" width="8.33203125" style="95" customWidth="1"/>
    <col min="8" max="8" width="8.21875" style="95" customWidth="1"/>
    <col min="9" max="9" width="8.6640625" style="8" customWidth="1"/>
    <col min="10" max="10" width="10.21875" style="3" customWidth="1"/>
    <col min="11" max="11" width="9.21875" style="3" customWidth="1"/>
    <col min="12" max="12" width="12.88671875" style="201" customWidth="1"/>
    <col min="13" max="13" width="7.88671875" style="92" customWidth="1"/>
    <col min="14" max="14" width="7.5546875" style="92" customWidth="1"/>
    <col min="15" max="15" width="10.5546875" style="52" customWidth="1"/>
    <col min="16" max="16" width="8.21875" style="3" customWidth="1"/>
    <col min="17" max="17" width="12.109375" style="92" customWidth="1"/>
    <col min="18" max="18" width="5.6640625" style="3" customWidth="1"/>
    <col min="19" max="19" width="6.21875" style="3" customWidth="1"/>
    <col min="20" max="20" width="12" style="8" customWidth="1"/>
    <col min="21" max="22" width="10" style="8" customWidth="1"/>
    <col min="23" max="23" width="16.109375" style="8" customWidth="1"/>
    <col min="24" max="24" width="13.109375" style="8" customWidth="1"/>
    <col min="25" max="16384" width="7.109375" style="3"/>
  </cols>
  <sheetData>
    <row r="1" spans="1:24" s="9" customFormat="1" ht="26.25" thickTop="1" thickBot="1">
      <c r="A1" s="56" t="s">
        <v>4</v>
      </c>
      <c r="B1" s="57" t="s">
        <v>8</v>
      </c>
      <c r="C1" s="172" t="s">
        <v>300</v>
      </c>
      <c r="D1" s="173" t="s">
        <v>301</v>
      </c>
      <c r="E1" s="58" t="s">
        <v>274</v>
      </c>
      <c r="F1" s="59" t="s">
        <v>16</v>
      </c>
      <c r="G1" s="60" t="s">
        <v>15</v>
      </c>
      <c r="H1" s="60" t="s">
        <v>2</v>
      </c>
      <c r="I1" s="193" t="s">
        <v>309</v>
      </c>
      <c r="J1" s="174" t="s">
        <v>291</v>
      </c>
      <c r="K1" s="174" t="s">
        <v>292</v>
      </c>
      <c r="L1" s="195" t="s">
        <v>154</v>
      </c>
      <c r="M1" s="175" t="s">
        <v>302</v>
      </c>
      <c r="N1" s="175" t="s">
        <v>303</v>
      </c>
      <c r="O1" s="42" t="s">
        <v>155</v>
      </c>
      <c r="P1" s="61" t="s">
        <v>147</v>
      </c>
      <c r="Q1" s="176" t="s">
        <v>332</v>
      </c>
      <c r="R1" s="177" t="s">
        <v>161</v>
      </c>
      <c r="S1" s="177" t="s">
        <v>162</v>
      </c>
      <c r="T1" s="178" t="s">
        <v>333</v>
      </c>
      <c r="U1" s="178" t="s">
        <v>157</v>
      </c>
      <c r="V1" s="179"/>
      <c r="W1" s="178" t="s">
        <v>293</v>
      </c>
      <c r="X1" s="178" t="s">
        <v>294</v>
      </c>
    </row>
    <row r="2" spans="1:24" ht="23.25" thickTop="1">
      <c r="A2" s="62" t="s">
        <v>14</v>
      </c>
      <c r="B2" s="62" t="s">
        <v>9</v>
      </c>
      <c r="C2" s="44">
        <v>0.54</v>
      </c>
      <c r="D2" s="44">
        <v>0.54</v>
      </c>
      <c r="E2" s="194" t="s">
        <v>307</v>
      </c>
      <c r="F2" s="63">
        <v>350</v>
      </c>
      <c r="G2" s="64">
        <f>F2/1000</f>
        <v>0.35</v>
      </c>
      <c r="H2" s="65">
        <f>POWER(70/G2,1/12)</f>
        <v>1.5550791539731852</v>
      </c>
      <c r="I2" s="6">
        <f>ABS(D2/H2)</f>
        <v>0.34724920504548895</v>
      </c>
      <c r="J2" s="136">
        <v>1</v>
      </c>
      <c r="K2" s="136">
        <v>1</v>
      </c>
      <c r="L2" s="196" t="s">
        <v>308</v>
      </c>
      <c r="M2" s="66">
        <v>1E-3</v>
      </c>
      <c r="N2" s="66">
        <v>1E-3</v>
      </c>
      <c r="O2" s="144" t="s">
        <v>225</v>
      </c>
      <c r="P2" s="67">
        <v>1</v>
      </c>
      <c r="Q2" s="159">
        <f t="shared" ref="Q2:Q48" si="0">(0.00001*70*1000)/(I2*(2+(0.0175*K2)))</f>
        <v>0.99917885885651436</v>
      </c>
      <c r="R2" s="39"/>
      <c r="S2" s="39"/>
      <c r="T2" s="100">
        <f>(0.00001*70*1000)/(I2*0.0175*K2)</f>
        <v>115.19104844245814</v>
      </c>
      <c r="U2" s="68"/>
      <c r="V2" s="6"/>
      <c r="W2" s="6">
        <f>(N2*15*1000*P2)/(0.64+(0.0056*K2))</f>
        <v>23.234200743494423</v>
      </c>
      <c r="X2" s="6">
        <f>(N2*15*1000*P2)/(0.0056*K2)</f>
        <v>2678.5714285714284</v>
      </c>
    </row>
    <row r="3" spans="1:24" ht="22.5">
      <c r="A3" s="69" t="s">
        <v>17</v>
      </c>
      <c r="B3" s="69" t="s">
        <v>10</v>
      </c>
      <c r="C3" s="70">
        <v>17</v>
      </c>
      <c r="D3" s="70">
        <v>17</v>
      </c>
      <c r="E3" s="133" t="s">
        <v>310</v>
      </c>
      <c r="F3" s="71">
        <v>30</v>
      </c>
      <c r="G3" s="72">
        <f>F3/1000</f>
        <v>0.03</v>
      </c>
      <c r="H3" s="73">
        <f>POWER(70/G3,1/12)</f>
        <v>1.9083794535528524</v>
      </c>
      <c r="I3" s="6">
        <f>ABS(D3/H3)</f>
        <v>8.9080816544900969</v>
      </c>
      <c r="J3" s="137">
        <v>391613.04</v>
      </c>
      <c r="K3" s="137">
        <v>391613.04</v>
      </c>
      <c r="L3" s="196" t="s">
        <v>308</v>
      </c>
      <c r="M3" s="74">
        <v>3.0000000000000001E-5</v>
      </c>
      <c r="N3" s="74">
        <v>3.0000000000000001E-5</v>
      </c>
      <c r="O3" s="132" t="s">
        <v>158</v>
      </c>
      <c r="P3" s="75">
        <v>1</v>
      </c>
      <c r="Q3" s="190">
        <f t="shared" si="0"/>
        <v>1.1462832184114829E-5</v>
      </c>
      <c r="R3" s="38"/>
      <c r="S3" s="39"/>
      <c r="T3" s="190">
        <f t="shared" ref="T3:T48" si="1">(0.00001*70*1000)/(I3*0.0175*K3)</f>
        <v>1.1466177419921836E-5</v>
      </c>
      <c r="U3" s="2">
        <f>Q3*J3</f>
        <v>4.488994558631048</v>
      </c>
      <c r="V3" s="2"/>
      <c r="W3" s="6">
        <f>(N3*15*1000*P3)/(0.64+(0.0056*K3))</f>
        <v>2.0513540307819369E-4</v>
      </c>
      <c r="X3" s="6">
        <f>(N3*15*1000*P3)/(0.0056*K3)</f>
        <v>2.0519526841379659E-4</v>
      </c>
    </row>
    <row r="4" spans="1:24" ht="22.5">
      <c r="A4" s="69" t="s">
        <v>336</v>
      </c>
      <c r="B4" s="69" t="s">
        <v>11</v>
      </c>
      <c r="C4" s="5">
        <v>1.5</v>
      </c>
      <c r="D4" s="5">
        <v>1.5</v>
      </c>
      <c r="E4" s="131" t="s">
        <v>311</v>
      </c>
      <c r="F4" s="71">
        <v>70000</v>
      </c>
      <c r="G4" s="72">
        <f t="shared" ref="G4:G14" si="2">F4/1000</f>
        <v>70</v>
      </c>
      <c r="H4" s="73">
        <f t="shared" ref="H4:H15" si="3">POWER(70/G4,1/12)</f>
        <v>1</v>
      </c>
      <c r="I4" s="6">
        <f t="shared" ref="I4:I48" si="4">ABS(D4/H4)</f>
        <v>1.5</v>
      </c>
      <c r="J4" s="137">
        <v>44</v>
      </c>
      <c r="K4" s="137">
        <v>44</v>
      </c>
      <c r="L4" s="196" t="s">
        <v>308</v>
      </c>
      <c r="M4" s="74">
        <v>2.9999999999999997E-4</v>
      </c>
      <c r="N4" s="74">
        <v>2.9999999999999997E-4</v>
      </c>
      <c r="O4" s="132" t="s">
        <v>158</v>
      </c>
      <c r="P4" s="75">
        <v>1</v>
      </c>
      <c r="Q4" s="66">
        <f t="shared" si="0"/>
        <v>0.16847172081829123</v>
      </c>
      <c r="R4" s="38">
        <v>10</v>
      </c>
      <c r="S4" s="162">
        <v>10</v>
      </c>
      <c r="T4" s="6">
        <f t="shared" si="1"/>
        <v>0.60606060606060608</v>
      </c>
      <c r="U4" s="2"/>
      <c r="V4" s="2"/>
      <c r="W4" s="6">
        <f t="shared" ref="W4:W48" si="5">(N4*15*1000*P4)/(0.64+(0.0056*K4))</f>
        <v>5.0767148014440426</v>
      </c>
      <c r="X4" s="6">
        <f t="shared" ref="X4:X48" si="6">(N4*15*1000*P4)/(0.0056*K4)</f>
        <v>18.262987012987011</v>
      </c>
    </row>
    <row r="5" spans="1:24" ht="22.5">
      <c r="A5" s="69" t="s">
        <v>18</v>
      </c>
      <c r="B5" s="69" t="s">
        <v>12</v>
      </c>
      <c r="C5" s="73">
        <v>1.4999999999999999E-2</v>
      </c>
      <c r="D5" s="73">
        <v>1.4999999999999999E-2</v>
      </c>
      <c r="E5" s="135" t="s">
        <v>312</v>
      </c>
      <c r="F5" s="71">
        <v>70000</v>
      </c>
      <c r="G5" s="72">
        <f t="shared" si="2"/>
        <v>70</v>
      </c>
      <c r="H5" s="73">
        <f t="shared" si="3"/>
        <v>1</v>
      </c>
      <c r="I5" s="6">
        <f t="shared" si="4"/>
        <v>1.4999999999999999E-2</v>
      </c>
      <c r="J5" s="138">
        <v>4.59</v>
      </c>
      <c r="K5" s="138">
        <v>4.59</v>
      </c>
      <c r="L5" s="196" t="s">
        <v>308</v>
      </c>
      <c r="M5" s="74">
        <v>4.0000000000000001E-3</v>
      </c>
      <c r="N5" s="74">
        <v>4.0000000000000001E-3</v>
      </c>
      <c r="O5" s="145" t="s">
        <v>158</v>
      </c>
      <c r="P5" s="75">
        <v>1</v>
      </c>
      <c r="Q5" s="66">
        <f t="shared" si="0"/>
        <v>22.432392374588908</v>
      </c>
      <c r="R5" s="38">
        <v>5</v>
      </c>
      <c r="S5" s="162">
        <v>5</v>
      </c>
      <c r="T5" s="100">
        <f t="shared" si="1"/>
        <v>580.97312999273777</v>
      </c>
      <c r="U5" s="2"/>
      <c r="V5" s="2"/>
      <c r="W5" s="6">
        <f t="shared" si="5"/>
        <v>90.130147933616144</v>
      </c>
      <c r="X5" s="6">
        <f t="shared" si="6"/>
        <v>2334.2670401493933</v>
      </c>
    </row>
    <row r="6" spans="1:24" ht="22.5">
      <c r="A6" s="69" t="s">
        <v>19</v>
      </c>
      <c r="B6" s="69" t="s">
        <v>13</v>
      </c>
      <c r="C6" s="70">
        <v>230</v>
      </c>
      <c r="D6" s="70">
        <v>230</v>
      </c>
      <c r="E6" s="135" t="s">
        <v>313</v>
      </c>
      <c r="F6" s="71">
        <v>70000</v>
      </c>
      <c r="G6" s="72">
        <f t="shared" si="2"/>
        <v>70</v>
      </c>
      <c r="H6" s="73">
        <f t="shared" si="3"/>
        <v>1</v>
      </c>
      <c r="I6" s="6">
        <f t="shared" si="4"/>
        <v>230</v>
      </c>
      <c r="J6" s="138">
        <v>1.617</v>
      </c>
      <c r="K6" s="138">
        <v>1.617</v>
      </c>
      <c r="L6" s="196" t="s">
        <v>308</v>
      </c>
      <c r="M6" s="74">
        <v>3.0000000000000001E-3</v>
      </c>
      <c r="N6" s="74">
        <v>3.0000000000000001E-3</v>
      </c>
      <c r="O6" s="132" t="s">
        <v>158</v>
      </c>
      <c r="P6" s="75">
        <v>1</v>
      </c>
      <c r="Q6" s="159">
        <f>(0.00001*70*1000)/(I6*(2+(0.0175*K6)))</f>
        <v>1.5005088064593906E-3</v>
      </c>
      <c r="R6" s="126"/>
      <c r="S6" s="127"/>
      <c r="T6" s="100">
        <f>(0.00001*70*1000)/(I6*0.0175*K6)</f>
        <v>0.10755290258395848</v>
      </c>
      <c r="U6" s="2"/>
      <c r="V6" s="2"/>
      <c r="W6" s="6">
        <f>(N6*15*1000*P6)/(0.64+(0.0056*K6))</f>
        <v>69.331545298458437</v>
      </c>
      <c r="X6" s="6">
        <f>(N6*15*1000*P6)/(0.0056*K6)</f>
        <v>4969.5202756427252</v>
      </c>
    </row>
    <row r="7" spans="1:24" ht="56.25">
      <c r="A7" s="69" t="s">
        <v>3</v>
      </c>
      <c r="B7" s="69" t="s">
        <v>20</v>
      </c>
      <c r="C7" s="73">
        <v>0.1</v>
      </c>
      <c r="D7" s="73">
        <v>0.1</v>
      </c>
      <c r="E7" s="135" t="s">
        <v>281</v>
      </c>
      <c r="F7" s="71">
        <v>70000</v>
      </c>
      <c r="G7" s="72">
        <f t="shared" si="2"/>
        <v>70</v>
      </c>
      <c r="H7" s="73">
        <f t="shared" si="3"/>
        <v>1</v>
      </c>
      <c r="I7" s="6">
        <f t="shared" si="4"/>
        <v>0.1</v>
      </c>
      <c r="J7" s="137">
        <v>3900</v>
      </c>
      <c r="K7" s="137">
        <v>3900</v>
      </c>
      <c r="L7" s="196" t="s">
        <v>308</v>
      </c>
      <c r="M7" s="74" t="s">
        <v>298</v>
      </c>
      <c r="N7" s="74" t="s">
        <v>298</v>
      </c>
      <c r="O7" s="132" t="s">
        <v>158</v>
      </c>
      <c r="P7" s="75">
        <v>1</v>
      </c>
      <c r="Q7" s="159">
        <f t="shared" si="0"/>
        <v>9.9644128113879002E-2</v>
      </c>
      <c r="R7" s="38"/>
      <c r="S7" s="39"/>
      <c r="T7" s="100">
        <f t="shared" si="1"/>
        <v>0.10256410256410256</v>
      </c>
      <c r="U7" s="2"/>
      <c r="V7" s="2"/>
      <c r="W7" s="6" t="e">
        <f>(N7*15*1000*P7)/(0.64+(0.0056*K7))</f>
        <v>#VALUE!</v>
      </c>
      <c r="X7" s="6" t="e">
        <f>(N7*15*1000*P7)/(0.0056*K7)</f>
        <v>#VALUE!</v>
      </c>
    </row>
    <row r="8" spans="1:24" ht="67.5">
      <c r="A8" s="69" t="s">
        <v>21</v>
      </c>
      <c r="B8" s="69" t="s">
        <v>22</v>
      </c>
      <c r="C8" s="157">
        <v>1</v>
      </c>
      <c r="D8" s="157">
        <v>1</v>
      </c>
      <c r="E8" s="146" t="s">
        <v>331</v>
      </c>
      <c r="F8" s="71">
        <v>70000</v>
      </c>
      <c r="G8" s="72">
        <v>70</v>
      </c>
      <c r="H8" s="73">
        <f t="shared" si="3"/>
        <v>1</v>
      </c>
      <c r="I8" s="6">
        <f t="shared" si="4"/>
        <v>1</v>
      </c>
      <c r="J8" s="137">
        <v>3900</v>
      </c>
      <c r="K8" s="137">
        <v>3900</v>
      </c>
      <c r="L8" s="197" t="s">
        <v>308</v>
      </c>
      <c r="M8" s="157">
        <v>2.9999999999999997E-4</v>
      </c>
      <c r="N8" s="157">
        <v>2.9999999999999997E-4</v>
      </c>
      <c r="O8" s="134" t="s">
        <v>278</v>
      </c>
      <c r="P8" s="75">
        <v>1</v>
      </c>
      <c r="Q8" s="159">
        <f t="shared" si="0"/>
        <v>9.9644128113879019E-3</v>
      </c>
      <c r="R8" s="38">
        <v>0.2</v>
      </c>
      <c r="S8" s="38">
        <v>0.2</v>
      </c>
      <c r="T8" s="100">
        <f t="shared" si="1"/>
        <v>1.0256410256410258E-2</v>
      </c>
      <c r="U8" s="2"/>
      <c r="V8" s="2"/>
      <c r="W8" s="6">
        <f t="shared" si="5"/>
        <v>0.20017793594306049</v>
      </c>
      <c r="X8" s="6">
        <f t="shared" si="6"/>
        <v>0.20604395604395603</v>
      </c>
    </row>
    <row r="9" spans="1:24" ht="22.5">
      <c r="A9" s="69" t="s">
        <v>146</v>
      </c>
      <c r="B9" s="69" t="s">
        <v>119</v>
      </c>
      <c r="C9" s="7">
        <v>1.1000000000000001</v>
      </c>
      <c r="D9" s="7">
        <v>1.1000000000000001</v>
      </c>
      <c r="E9" s="146" t="s">
        <v>310</v>
      </c>
      <c r="F9" s="71">
        <v>30</v>
      </c>
      <c r="G9" s="72">
        <f t="shared" si="2"/>
        <v>0.03</v>
      </c>
      <c r="H9" s="73">
        <f t="shared" si="3"/>
        <v>1.9083794535528524</v>
      </c>
      <c r="I9" s="6">
        <f t="shared" si="4"/>
        <v>0.57640528352582987</v>
      </c>
      <c r="J9" s="138">
        <v>1.62</v>
      </c>
      <c r="K9" s="138">
        <v>1.62</v>
      </c>
      <c r="L9" s="197" t="s">
        <v>308</v>
      </c>
      <c r="M9" s="74" t="s">
        <v>298</v>
      </c>
      <c r="N9" s="74" t="s">
        <v>298</v>
      </c>
      <c r="O9" s="132" t="s">
        <v>158</v>
      </c>
      <c r="P9" s="75">
        <v>1</v>
      </c>
      <c r="Q9" s="159">
        <f t="shared" si="0"/>
        <v>0.59872472138661592</v>
      </c>
      <c r="R9" s="38"/>
      <c r="S9" s="39"/>
      <c r="T9" s="100">
        <f t="shared" si="1"/>
        <v>42.836800304216645</v>
      </c>
      <c r="U9" s="2"/>
      <c r="V9" s="2"/>
      <c r="W9" s="6" t="e">
        <f t="shared" si="5"/>
        <v>#VALUE!</v>
      </c>
      <c r="X9" s="6" t="e">
        <f t="shared" si="6"/>
        <v>#VALUE!</v>
      </c>
    </row>
    <row r="10" spans="1:24" ht="22.5">
      <c r="A10" s="69" t="s">
        <v>23</v>
      </c>
      <c r="B10" s="69" t="s">
        <v>24</v>
      </c>
      <c r="C10" s="70">
        <v>220</v>
      </c>
      <c r="D10" s="70">
        <v>220</v>
      </c>
      <c r="E10" s="133" t="s">
        <v>314</v>
      </c>
      <c r="F10" s="71">
        <v>500</v>
      </c>
      <c r="G10" s="72">
        <f t="shared" si="2"/>
        <v>0.5</v>
      </c>
      <c r="H10" s="73">
        <f t="shared" si="3"/>
        <v>1.5095378361712095</v>
      </c>
      <c r="I10" s="6">
        <f t="shared" si="4"/>
        <v>145.73997069063722</v>
      </c>
      <c r="J10" s="138">
        <v>1</v>
      </c>
      <c r="K10" s="138">
        <v>1</v>
      </c>
      <c r="L10" s="197" t="s">
        <v>308</v>
      </c>
      <c r="M10" s="74" t="s">
        <v>298</v>
      </c>
      <c r="N10" s="74" t="s">
        <v>298</v>
      </c>
      <c r="O10" s="132" t="s">
        <v>158</v>
      </c>
      <c r="P10" s="75">
        <v>1</v>
      </c>
      <c r="Q10" s="159">
        <f t="shared" si="0"/>
        <v>2.3807062866280202E-3</v>
      </c>
      <c r="R10" s="38"/>
      <c r="S10" s="39"/>
      <c r="T10" s="100">
        <f t="shared" si="1"/>
        <v>0.27446142475840168</v>
      </c>
      <c r="U10" s="2"/>
      <c r="V10" s="2"/>
      <c r="W10" s="6" t="e">
        <f t="shared" si="5"/>
        <v>#VALUE!</v>
      </c>
      <c r="X10" s="6" t="e">
        <f t="shared" si="6"/>
        <v>#VALUE!</v>
      </c>
    </row>
    <row r="11" spans="1:24" ht="22.5">
      <c r="A11" s="69" t="s">
        <v>26</v>
      </c>
      <c r="B11" s="69" t="s">
        <v>27</v>
      </c>
      <c r="C11" s="73">
        <v>6.2E-2</v>
      </c>
      <c r="D11" s="73">
        <v>6.2E-2</v>
      </c>
      <c r="E11" s="131" t="s">
        <v>315</v>
      </c>
      <c r="F11" s="71">
        <v>37.299999999999997</v>
      </c>
      <c r="G11" s="72">
        <f t="shared" si="2"/>
        <v>3.73E-2</v>
      </c>
      <c r="H11" s="73">
        <f t="shared" si="3"/>
        <v>1.8740554382043233</v>
      </c>
      <c r="I11" s="6">
        <f t="shared" si="4"/>
        <v>3.3083332934593958E-2</v>
      </c>
      <c r="J11" s="139">
        <v>4.3899999999999997</v>
      </c>
      <c r="K11" s="139">
        <v>4.3899999999999997</v>
      </c>
      <c r="L11" s="197" t="s">
        <v>308</v>
      </c>
      <c r="M11" s="74">
        <v>0.02</v>
      </c>
      <c r="N11" s="74">
        <v>0.02</v>
      </c>
      <c r="O11" s="146" t="s">
        <v>158</v>
      </c>
      <c r="P11" s="75">
        <v>1</v>
      </c>
      <c r="Q11" s="159">
        <f t="shared" si="0"/>
        <v>10.187998715028534</v>
      </c>
      <c r="R11" s="38">
        <v>80</v>
      </c>
      <c r="S11" s="38">
        <v>80</v>
      </c>
      <c r="T11" s="100">
        <f t="shared" si="1"/>
        <v>275.41412862140106</v>
      </c>
      <c r="U11" s="2"/>
      <c r="V11" s="2"/>
      <c r="W11" s="6">
        <f t="shared" si="5"/>
        <v>451.41020548192552</v>
      </c>
      <c r="X11" s="6">
        <f t="shared" si="6"/>
        <v>12203.058900097625</v>
      </c>
    </row>
    <row r="12" spans="1:24" ht="22.5">
      <c r="A12" s="69" t="s">
        <v>28</v>
      </c>
      <c r="B12" s="69" t="s">
        <v>29</v>
      </c>
      <c r="C12" s="2">
        <v>7.9000000000000008E-3</v>
      </c>
      <c r="D12" s="2">
        <v>7.9000000000000008E-3</v>
      </c>
      <c r="E12" s="131" t="s">
        <v>316</v>
      </c>
      <c r="F12" s="71">
        <v>229</v>
      </c>
      <c r="G12" s="72">
        <f t="shared" si="2"/>
        <v>0.22900000000000001</v>
      </c>
      <c r="H12" s="73">
        <f t="shared" si="3"/>
        <v>1.611035881013013</v>
      </c>
      <c r="I12" s="6">
        <f t="shared" si="4"/>
        <v>4.9036772508334898E-3</v>
      </c>
      <c r="J12" s="140">
        <v>7.69</v>
      </c>
      <c r="K12" s="140">
        <v>7.69</v>
      </c>
      <c r="L12" s="197" t="s">
        <v>308</v>
      </c>
      <c r="M12" s="74">
        <v>0.02</v>
      </c>
      <c r="N12" s="74">
        <v>0.02</v>
      </c>
      <c r="O12" s="146" t="s">
        <v>158</v>
      </c>
      <c r="P12" s="75">
        <v>1</v>
      </c>
      <c r="Q12" s="159">
        <f t="shared" si="0"/>
        <v>66.875146000166296</v>
      </c>
      <c r="R12" s="38">
        <v>80</v>
      </c>
      <c r="S12" s="38">
        <v>80</v>
      </c>
      <c r="T12" s="100">
        <f t="shared" si="1"/>
        <v>1060.7469052446957</v>
      </c>
      <c r="U12" s="2"/>
      <c r="V12" s="2"/>
      <c r="W12" s="6">
        <f t="shared" si="5"/>
        <v>439.19749833104953</v>
      </c>
      <c r="X12" s="6">
        <f t="shared" si="6"/>
        <v>6966.375626973806</v>
      </c>
    </row>
    <row r="13" spans="1:24" ht="22.5">
      <c r="A13" s="69" t="s">
        <v>25</v>
      </c>
      <c r="B13" s="69" t="s">
        <v>31</v>
      </c>
      <c r="C13" s="5">
        <v>7.0000000000000007E-2</v>
      </c>
      <c r="D13" s="5">
        <v>7.0000000000000007E-2</v>
      </c>
      <c r="E13" s="131" t="s">
        <v>317</v>
      </c>
      <c r="F13" s="71">
        <v>36</v>
      </c>
      <c r="G13" s="72">
        <f t="shared" si="2"/>
        <v>3.5999999999999997E-2</v>
      </c>
      <c r="H13" s="73">
        <v>1</v>
      </c>
      <c r="I13" s="6">
        <f t="shared" si="4"/>
        <v>7.0000000000000007E-2</v>
      </c>
      <c r="J13" s="139">
        <v>12.42</v>
      </c>
      <c r="K13" s="139">
        <v>12.42</v>
      </c>
      <c r="L13" s="197" t="s">
        <v>308</v>
      </c>
      <c r="M13" s="74">
        <v>4.0000000000000001E-3</v>
      </c>
      <c r="N13" s="74">
        <v>4.0000000000000001E-3</v>
      </c>
      <c r="O13" s="132" t="s">
        <v>158</v>
      </c>
      <c r="P13" s="75">
        <v>1</v>
      </c>
      <c r="Q13" s="159">
        <f t="shared" si="0"/>
        <v>4.5098879292849565</v>
      </c>
      <c r="R13" s="38">
        <v>5</v>
      </c>
      <c r="S13" s="38">
        <v>5</v>
      </c>
      <c r="T13" s="100">
        <f t="shared" si="1"/>
        <v>46.008741660915568</v>
      </c>
      <c r="U13" s="2"/>
      <c r="V13" s="2"/>
      <c r="W13" s="6">
        <f t="shared" si="5"/>
        <v>84.560398674092951</v>
      </c>
      <c r="X13" s="6">
        <f t="shared" si="6"/>
        <v>862.66390614216698</v>
      </c>
    </row>
    <row r="14" spans="1:24" ht="22.5">
      <c r="A14" s="69" t="s">
        <v>243</v>
      </c>
      <c r="B14" s="69" t="s">
        <v>73</v>
      </c>
      <c r="C14" s="5">
        <v>0.35</v>
      </c>
      <c r="D14" s="5">
        <v>0.35</v>
      </c>
      <c r="E14" s="133" t="s">
        <v>330</v>
      </c>
      <c r="F14" s="71">
        <v>31</v>
      </c>
      <c r="G14" s="72">
        <f t="shared" si="2"/>
        <v>3.1E-2</v>
      </c>
      <c r="H14" s="73">
        <v>1</v>
      </c>
      <c r="I14" s="6">
        <f t="shared" si="4"/>
        <v>0.35</v>
      </c>
      <c r="J14" s="137">
        <v>46331</v>
      </c>
      <c r="K14" s="137">
        <v>46331</v>
      </c>
      <c r="L14" s="197" t="s">
        <v>308</v>
      </c>
      <c r="M14" s="74">
        <v>5.0000000000000001E-4</v>
      </c>
      <c r="N14" s="74">
        <v>5.0000000000000001E-4</v>
      </c>
      <c r="O14" s="132" t="s">
        <v>158</v>
      </c>
      <c r="P14" s="75">
        <v>1</v>
      </c>
      <c r="Q14" s="159">
        <f t="shared" si="0"/>
        <v>2.4606526265928881E-3</v>
      </c>
      <c r="R14" s="38">
        <v>2</v>
      </c>
      <c r="S14" s="38">
        <v>2</v>
      </c>
      <c r="T14" s="100">
        <f t="shared" si="1"/>
        <v>2.4667223734802677E-3</v>
      </c>
      <c r="U14" s="2">
        <f>Q14*J14</f>
        <v>114.0044968426751</v>
      </c>
      <c r="V14" s="2"/>
      <c r="W14" s="6">
        <f t="shared" si="5"/>
        <v>2.883577296788541E-2</v>
      </c>
      <c r="X14" s="6">
        <f t="shared" si="6"/>
        <v>2.890690281422189E-2</v>
      </c>
    </row>
    <row r="15" spans="1:24" ht="60" customHeight="1">
      <c r="A15" s="69" t="s">
        <v>5</v>
      </c>
      <c r="B15" s="69" t="s">
        <v>34</v>
      </c>
      <c r="C15" s="2">
        <v>1E-3</v>
      </c>
      <c r="D15" s="2">
        <v>1E-3</v>
      </c>
      <c r="E15" s="134" t="s">
        <v>281</v>
      </c>
      <c r="F15" s="71">
        <v>70000</v>
      </c>
      <c r="G15" s="72">
        <f t="shared" ref="G15:G38" si="7">F15/1000</f>
        <v>70</v>
      </c>
      <c r="H15" s="73">
        <f t="shared" si="3"/>
        <v>1</v>
      </c>
      <c r="I15" s="6">
        <f t="shared" si="4"/>
        <v>1E-3</v>
      </c>
      <c r="J15" s="137">
        <v>3900</v>
      </c>
      <c r="K15" s="137">
        <v>3900</v>
      </c>
      <c r="L15" s="197" t="s">
        <v>308</v>
      </c>
      <c r="M15" s="74" t="s">
        <v>298</v>
      </c>
      <c r="N15" s="74" t="s">
        <v>298</v>
      </c>
      <c r="O15" s="132" t="s">
        <v>158</v>
      </c>
      <c r="P15" s="75">
        <v>1</v>
      </c>
      <c r="Q15" s="159">
        <f t="shared" si="0"/>
        <v>9.9644128113879002</v>
      </c>
      <c r="R15" s="38"/>
      <c r="S15" s="39"/>
      <c r="T15" s="100">
        <f t="shared" si="1"/>
        <v>10.256410256410257</v>
      </c>
      <c r="U15" s="2"/>
      <c r="V15" s="2"/>
      <c r="W15" s="6" t="e">
        <f t="shared" si="5"/>
        <v>#VALUE!</v>
      </c>
      <c r="X15" s="6" t="e">
        <f t="shared" si="6"/>
        <v>#VALUE!</v>
      </c>
    </row>
    <row r="16" spans="1:24" ht="22.5">
      <c r="A16" s="69" t="s">
        <v>35</v>
      </c>
      <c r="B16" s="69" t="s">
        <v>36</v>
      </c>
      <c r="C16" s="5">
        <v>0.24</v>
      </c>
      <c r="D16" s="5">
        <v>0.24</v>
      </c>
      <c r="E16" s="133" t="s">
        <v>318</v>
      </c>
      <c r="F16" s="71">
        <v>30</v>
      </c>
      <c r="G16" s="72">
        <f t="shared" si="7"/>
        <v>0.03</v>
      </c>
      <c r="H16" s="73">
        <f t="shared" ref="H16:H36" si="8">POWER(70/G16,1/12)</f>
        <v>1.9083794535528524</v>
      </c>
      <c r="I16" s="6">
        <f t="shared" si="4"/>
        <v>0.12576115276927194</v>
      </c>
      <c r="J16" s="137">
        <v>162727</v>
      </c>
      <c r="K16" s="137">
        <v>162727</v>
      </c>
      <c r="L16" s="197" t="s">
        <v>308</v>
      </c>
      <c r="M16" s="74" t="s">
        <v>298</v>
      </c>
      <c r="N16" s="74" t="s">
        <v>298</v>
      </c>
      <c r="O16" s="132" t="s">
        <v>158</v>
      </c>
      <c r="P16" s="75">
        <v>1</v>
      </c>
      <c r="Q16" s="159">
        <f t="shared" si="0"/>
        <v>1.9532100895891277E-3</v>
      </c>
      <c r="R16" s="38"/>
      <c r="S16" s="39"/>
      <c r="T16" s="100">
        <f t="shared" si="1"/>
        <v>1.9545818595488687E-3</v>
      </c>
      <c r="U16" s="2">
        <f>Q16*J16</f>
        <v>317.84001824857</v>
      </c>
      <c r="V16" s="2"/>
      <c r="W16" s="6" t="e">
        <f t="shared" si="5"/>
        <v>#VALUE!</v>
      </c>
      <c r="X16" s="6" t="e">
        <f t="shared" si="6"/>
        <v>#VALUE!</v>
      </c>
    </row>
    <row r="17" spans="1:162" ht="22.5" customHeight="1">
      <c r="A17" s="69" t="s">
        <v>37</v>
      </c>
      <c r="B17" s="69" t="s">
        <v>152</v>
      </c>
      <c r="C17" s="5">
        <v>0.34</v>
      </c>
      <c r="D17" s="5">
        <v>0.34</v>
      </c>
      <c r="E17" s="133" t="s">
        <v>319</v>
      </c>
      <c r="F17" s="71">
        <v>53</v>
      </c>
      <c r="G17" s="72">
        <f t="shared" si="7"/>
        <v>5.2999999999999999E-2</v>
      </c>
      <c r="H17" s="73">
        <f t="shared" si="8"/>
        <v>1.8199879568594428</v>
      </c>
      <c r="I17" s="6">
        <f t="shared" si="4"/>
        <v>0.18681442298480996</v>
      </c>
      <c r="J17" s="137">
        <v>1633762</v>
      </c>
      <c r="K17" s="137">
        <v>1633762</v>
      </c>
      <c r="L17" s="197" t="s">
        <v>308</v>
      </c>
      <c r="M17" s="74" t="s">
        <v>298</v>
      </c>
      <c r="N17" s="74" t="s">
        <v>298</v>
      </c>
      <c r="O17" s="132" t="s">
        <v>158</v>
      </c>
      <c r="P17" s="75">
        <v>1</v>
      </c>
      <c r="Q17" s="159">
        <f t="shared" si="0"/>
        <v>1.3104800656626965E-4</v>
      </c>
      <c r="R17" s="38"/>
      <c r="S17" s="39"/>
      <c r="T17" s="159">
        <f t="shared" si="1"/>
        <v>1.3105717370018275E-4</v>
      </c>
      <c r="U17" s="2">
        <f>Q17*J17</f>
        <v>214.10125330372182</v>
      </c>
      <c r="V17" s="2"/>
      <c r="W17" s="6" t="e">
        <f t="shared" si="5"/>
        <v>#VALUE!</v>
      </c>
      <c r="X17" s="6" t="e">
        <f t="shared" si="6"/>
        <v>#VALUE!</v>
      </c>
    </row>
    <row r="18" spans="1:162" ht="22.5">
      <c r="A18" s="69" t="s">
        <v>38</v>
      </c>
      <c r="B18" s="69" t="s">
        <v>39</v>
      </c>
      <c r="C18" s="5">
        <v>0.34</v>
      </c>
      <c r="D18" s="5">
        <v>0.34</v>
      </c>
      <c r="E18" s="146" t="s">
        <v>320</v>
      </c>
      <c r="F18" s="71">
        <v>63</v>
      </c>
      <c r="G18" s="72">
        <f t="shared" si="7"/>
        <v>6.3E-2</v>
      </c>
      <c r="H18" s="73">
        <f t="shared" si="8"/>
        <v>1.793961523747216</v>
      </c>
      <c r="I18" s="6">
        <f t="shared" si="4"/>
        <v>0.1895246890746074</v>
      </c>
      <c r="J18" s="137">
        <v>478704</v>
      </c>
      <c r="K18" s="137">
        <v>478704</v>
      </c>
      <c r="L18" s="197" t="s">
        <v>308</v>
      </c>
      <c r="M18" s="74">
        <v>5.0000000000000001E-4</v>
      </c>
      <c r="N18" s="74">
        <v>5.0000000000000001E-4</v>
      </c>
      <c r="O18" s="134" t="s">
        <v>158</v>
      </c>
      <c r="P18" s="75">
        <v>1</v>
      </c>
      <c r="Q18" s="159">
        <f t="shared" si="0"/>
        <v>4.4078161425391917E-4</v>
      </c>
      <c r="R18" s="38"/>
      <c r="S18" s="39"/>
      <c r="T18" s="100">
        <f t="shared" si="1"/>
        <v>4.4088684638406438E-4</v>
      </c>
      <c r="U18" s="2">
        <f>Q18*J18</f>
        <v>211.00392186980812</v>
      </c>
      <c r="V18" s="2"/>
      <c r="W18" s="6">
        <f t="shared" si="5"/>
        <v>2.7970646782793829E-3</v>
      </c>
      <c r="X18" s="6">
        <f t="shared" si="6"/>
        <v>2.7977324490409822E-3</v>
      </c>
    </row>
    <row r="19" spans="1:162" ht="38.25">
      <c r="A19" s="163" t="s">
        <v>286</v>
      </c>
      <c r="B19" s="69" t="s">
        <v>120</v>
      </c>
      <c r="C19" s="73">
        <v>1.4E-2</v>
      </c>
      <c r="D19" s="73">
        <v>1.4E-2</v>
      </c>
      <c r="E19" s="146" t="s">
        <v>318</v>
      </c>
      <c r="F19" s="71">
        <v>37</v>
      </c>
      <c r="G19" s="72">
        <f t="shared" si="7"/>
        <v>3.6999999999999998E-2</v>
      </c>
      <c r="H19" s="73">
        <f t="shared" si="8"/>
        <v>1.875317010439371</v>
      </c>
      <c r="I19" s="6">
        <f t="shared" si="4"/>
        <v>7.4654044740520521E-3</v>
      </c>
      <c r="J19" s="137">
        <v>710</v>
      </c>
      <c r="K19" s="137">
        <v>710</v>
      </c>
      <c r="L19" s="197" t="s">
        <v>308</v>
      </c>
      <c r="M19" s="74">
        <v>0.02</v>
      </c>
      <c r="N19" s="74">
        <v>0.02</v>
      </c>
      <c r="O19" s="134" t="s">
        <v>158</v>
      </c>
      <c r="P19" s="75">
        <v>1</v>
      </c>
      <c r="Q19" s="66">
        <f t="shared" si="0"/>
        <v>6.5002322718869019</v>
      </c>
      <c r="R19" s="38">
        <v>6</v>
      </c>
      <c r="S19" s="162">
        <v>6</v>
      </c>
      <c r="T19" s="100">
        <f t="shared" si="1"/>
        <v>7.5465473257117548</v>
      </c>
      <c r="U19" s="2"/>
      <c r="V19" s="2"/>
      <c r="W19" s="6">
        <f t="shared" si="5"/>
        <v>64.991334488734836</v>
      </c>
      <c r="X19" s="6">
        <f t="shared" si="6"/>
        <v>75.452716297786722</v>
      </c>
    </row>
    <row r="20" spans="1:162" ht="25.5">
      <c r="A20" s="163" t="s">
        <v>287</v>
      </c>
      <c r="B20" s="69" t="s">
        <v>40</v>
      </c>
      <c r="C20" s="73">
        <v>8.4000000000000005E-2</v>
      </c>
      <c r="D20" s="73">
        <v>8.4000000000000005E-2</v>
      </c>
      <c r="E20" s="133" t="s">
        <v>321</v>
      </c>
      <c r="F20" s="71">
        <v>35.299999999999997</v>
      </c>
      <c r="G20" s="72">
        <f t="shared" si="7"/>
        <v>3.5299999999999998E-2</v>
      </c>
      <c r="H20" s="73">
        <f t="shared" si="8"/>
        <v>1.8826818879027973</v>
      </c>
      <c r="I20" s="6">
        <f t="shared" si="4"/>
        <v>4.4617203012225992E-2</v>
      </c>
      <c r="J20" s="139">
        <v>4.88</v>
      </c>
      <c r="K20" s="139">
        <v>4.88</v>
      </c>
      <c r="L20" s="197" t="s">
        <v>308</v>
      </c>
      <c r="M20" s="74">
        <v>0.02</v>
      </c>
      <c r="N20" s="74">
        <v>0.02</v>
      </c>
      <c r="O20" s="134" t="s">
        <v>158</v>
      </c>
      <c r="P20" s="75">
        <v>1</v>
      </c>
      <c r="Q20" s="159">
        <f t="shared" si="0"/>
        <v>7.5232644732537217</v>
      </c>
      <c r="R20" s="38">
        <v>60</v>
      </c>
      <c r="S20" s="38">
        <v>60</v>
      </c>
      <c r="T20" s="100">
        <f t="shared" si="1"/>
        <v>183.71212801549544</v>
      </c>
      <c r="U20" s="2"/>
      <c r="V20" s="2"/>
      <c r="W20" s="6">
        <f t="shared" si="5"/>
        <v>449.55404238994913</v>
      </c>
      <c r="X20" s="6">
        <f t="shared" si="6"/>
        <v>10977.751756440282</v>
      </c>
    </row>
    <row r="21" spans="1:162" ht="45">
      <c r="A21" s="69" t="s">
        <v>189</v>
      </c>
      <c r="B21" s="69" t="s">
        <v>41</v>
      </c>
      <c r="C21" s="70">
        <v>2</v>
      </c>
      <c r="D21" s="70">
        <v>2</v>
      </c>
      <c r="E21" s="134" t="s">
        <v>322</v>
      </c>
      <c r="F21" s="71">
        <v>514</v>
      </c>
      <c r="G21" s="72">
        <f t="shared" si="7"/>
        <v>0.51400000000000001</v>
      </c>
      <c r="H21" s="73">
        <v>1</v>
      </c>
      <c r="I21" s="6">
        <f t="shared" si="4"/>
        <v>2</v>
      </c>
      <c r="J21" s="138">
        <v>4.72</v>
      </c>
      <c r="K21" s="138">
        <v>4.72</v>
      </c>
      <c r="L21" s="198" t="s">
        <v>209</v>
      </c>
      <c r="M21" s="74">
        <v>8.9999999999999993E-3</v>
      </c>
      <c r="N21" s="74">
        <v>8.9999999999999993E-3</v>
      </c>
      <c r="O21" s="134" t="s">
        <v>158</v>
      </c>
      <c r="P21" s="75">
        <v>1</v>
      </c>
      <c r="Q21" s="159">
        <f t="shared" si="0"/>
        <v>0.16805915682320177</v>
      </c>
      <c r="R21" s="38"/>
      <c r="S21" s="39"/>
      <c r="T21" s="100">
        <f t="shared" si="1"/>
        <v>4.2372881355932206</v>
      </c>
      <c r="U21" s="2"/>
      <c r="V21" s="2"/>
      <c r="W21" s="6">
        <f t="shared" si="5"/>
        <v>202.57130509939495</v>
      </c>
      <c r="X21" s="6">
        <f t="shared" si="6"/>
        <v>5107.4455205811137</v>
      </c>
    </row>
    <row r="22" spans="1:162" ht="22.5">
      <c r="A22" s="69" t="s">
        <v>125</v>
      </c>
      <c r="B22" s="69" t="s">
        <v>126</v>
      </c>
      <c r="C22" s="5">
        <v>0.45</v>
      </c>
      <c r="D22" s="5">
        <v>0.45</v>
      </c>
      <c r="E22" s="134" t="s">
        <v>316</v>
      </c>
      <c r="F22" s="71">
        <v>350</v>
      </c>
      <c r="G22" s="72">
        <v>0.35</v>
      </c>
      <c r="H22" s="73">
        <f>POWER(70/G22,1/12)</f>
        <v>1.5550791539731852</v>
      </c>
      <c r="I22" s="6">
        <f t="shared" si="4"/>
        <v>0.28937433753790742</v>
      </c>
      <c r="J22" s="138">
        <v>61.66</v>
      </c>
      <c r="K22" s="138">
        <v>61.66</v>
      </c>
      <c r="L22" s="197" t="s">
        <v>308</v>
      </c>
      <c r="M22" s="74" t="s">
        <v>298</v>
      </c>
      <c r="N22" s="74" t="s">
        <v>298</v>
      </c>
      <c r="O22" s="134" t="s">
        <v>158</v>
      </c>
      <c r="P22" s="75">
        <v>1</v>
      </c>
      <c r="Q22" s="159">
        <f t="shared" si="0"/>
        <v>0.78563583484893762</v>
      </c>
      <c r="R22" s="38"/>
      <c r="S22" s="39"/>
      <c r="T22" s="100">
        <f t="shared" si="1"/>
        <v>2.2417978937877039</v>
      </c>
      <c r="U22" s="2"/>
      <c r="V22" s="2"/>
      <c r="W22" s="6" t="e">
        <f t="shared" si="5"/>
        <v>#VALUE!</v>
      </c>
      <c r="X22" s="6" t="e">
        <f t="shared" si="6"/>
        <v>#VALUE!</v>
      </c>
    </row>
    <row r="23" spans="1:162" ht="33.75">
      <c r="A23" s="69" t="s">
        <v>42</v>
      </c>
      <c r="B23" s="69" t="s">
        <v>43</v>
      </c>
      <c r="C23" s="73">
        <v>9.0999999999999998E-2</v>
      </c>
      <c r="D23" s="73">
        <v>9.0999999999999998E-2</v>
      </c>
      <c r="E23" s="134" t="s">
        <v>307</v>
      </c>
      <c r="F23" s="71">
        <v>500</v>
      </c>
      <c r="G23" s="72">
        <f t="shared" si="7"/>
        <v>0.5</v>
      </c>
      <c r="H23" s="73">
        <f>POWER(70/G23,1/12)</f>
        <v>1.5095378361712095</v>
      </c>
      <c r="I23" s="6">
        <f t="shared" si="4"/>
        <v>6.0283351512945393E-2</v>
      </c>
      <c r="J23" s="138">
        <v>1.82</v>
      </c>
      <c r="K23" s="138">
        <v>1.82</v>
      </c>
      <c r="L23" s="197" t="s">
        <v>308</v>
      </c>
      <c r="M23" s="74">
        <v>7.8E-2</v>
      </c>
      <c r="N23" s="74">
        <v>7.8E-2</v>
      </c>
      <c r="O23" s="134" t="s">
        <v>283</v>
      </c>
      <c r="P23" s="75">
        <v>1</v>
      </c>
      <c r="Q23" s="66">
        <f t="shared" si="0"/>
        <v>5.7149048940666418</v>
      </c>
      <c r="R23" s="38">
        <v>5</v>
      </c>
      <c r="S23" s="162">
        <v>5</v>
      </c>
      <c r="T23" s="100">
        <f t="shared" si="1"/>
        <v>364.57863450578657</v>
      </c>
      <c r="U23" s="2"/>
      <c r="V23" s="2"/>
      <c r="W23" s="6">
        <f t="shared" si="5"/>
        <v>1799.4684646996579</v>
      </c>
      <c r="X23" s="6">
        <f t="shared" si="6"/>
        <v>114795.91836734694</v>
      </c>
    </row>
    <row r="24" spans="1:162" ht="45">
      <c r="A24" s="69" t="s">
        <v>127</v>
      </c>
      <c r="B24" s="69" t="s">
        <v>149</v>
      </c>
      <c r="C24" s="2">
        <v>2E-3</v>
      </c>
      <c r="D24" s="2">
        <v>2E-3</v>
      </c>
      <c r="E24" s="129" t="s">
        <v>214</v>
      </c>
      <c r="F24" s="71">
        <v>37.299999999999997</v>
      </c>
      <c r="G24" s="72">
        <f t="shared" si="7"/>
        <v>3.73E-2</v>
      </c>
      <c r="H24" s="73">
        <v>1</v>
      </c>
      <c r="I24" s="6">
        <f t="shared" si="4"/>
        <v>2E-3</v>
      </c>
      <c r="J24" s="138">
        <v>1.5</v>
      </c>
      <c r="K24" s="138">
        <v>1.5</v>
      </c>
      <c r="L24" s="197" t="s">
        <v>308</v>
      </c>
      <c r="M24" s="74">
        <v>6.0000000000000001E-3</v>
      </c>
      <c r="N24" s="74">
        <v>6.0000000000000001E-3</v>
      </c>
      <c r="O24" s="134" t="s">
        <v>158</v>
      </c>
      <c r="P24" s="75">
        <v>1</v>
      </c>
      <c r="Q24" s="66">
        <f t="shared" si="0"/>
        <v>172.73288093769278</v>
      </c>
      <c r="R24" s="38">
        <v>5</v>
      </c>
      <c r="S24" s="162">
        <v>5</v>
      </c>
      <c r="T24" s="6">
        <f t="shared" si="1"/>
        <v>13333.333333333334</v>
      </c>
      <c r="U24" s="2"/>
      <c r="V24" s="2"/>
      <c r="W24" s="6">
        <f t="shared" si="5"/>
        <v>138.80320789636028</v>
      </c>
      <c r="X24" s="100">
        <f t="shared" si="6"/>
        <v>10714.285714285716</v>
      </c>
    </row>
    <row r="25" spans="1:162" ht="45">
      <c r="A25" s="69" t="s">
        <v>128</v>
      </c>
      <c r="B25" s="69" t="s">
        <v>129</v>
      </c>
      <c r="C25" s="73">
        <v>3.6999999999999998E-2</v>
      </c>
      <c r="D25" s="73">
        <v>3.6999999999999998E-2</v>
      </c>
      <c r="E25" s="135" t="s">
        <v>282</v>
      </c>
      <c r="F25" s="71">
        <v>70000</v>
      </c>
      <c r="G25" s="72">
        <f t="shared" si="7"/>
        <v>70</v>
      </c>
      <c r="H25" s="73">
        <v>1</v>
      </c>
      <c r="I25" s="6">
        <f t="shared" si="4"/>
        <v>3.6999999999999998E-2</v>
      </c>
      <c r="J25" s="138">
        <v>3.58</v>
      </c>
      <c r="K25" s="138">
        <v>3.58</v>
      </c>
      <c r="L25" s="197" t="s">
        <v>308</v>
      </c>
      <c r="M25" s="74">
        <v>8.8999999999999996E-2</v>
      </c>
      <c r="N25" s="74">
        <v>8.8999999999999996E-2</v>
      </c>
      <c r="O25" s="132" t="s">
        <v>224</v>
      </c>
      <c r="P25" s="75">
        <v>1</v>
      </c>
      <c r="Q25" s="66">
        <f t="shared" si="0"/>
        <v>9.1721421079285967</v>
      </c>
      <c r="R25" s="38">
        <v>5</v>
      </c>
      <c r="S25" s="162">
        <v>5</v>
      </c>
      <c r="T25" s="100">
        <f t="shared" si="1"/>
        <v>301.9779556092405</v>
      </c>
      <c r="U25" s="2"/>
      <c r="V25" s="2"/>
      <c r="W25" s="6">
        <f t="shared" si="5"/>
        <v>2022.5801759872011</v>
      </c>
      <c r="X25" s="6">
        <f t="shared" si="6"/>
        <v>66590.183559457306</v>
      </c>
    </row>
    <row r="26" spans="1:162" ht="22.5">
      <c r="A26" s="69" t="s">
        <v>150</v>
      </c>
      <c r="B26" s="69" t="s">
        <v>46</v>
      </c>
      <c r="C26" s="154">
        <v>0.1</v>
      </c>
      <c r="D26" s="154">
        <v>0.1</v>
      </c>
      <c r="E26" s="133" t="s">
        <v>323</v>
      </c>
      <c r="F26" s="71">
        <v>30</v>
      </c>
      <c r="G26" s="72">
        <f t="shared" si="7"/>
        <v>0.03</v>
      </c>
      <c r="H26" s="73">
        <v>1</v>
      </c>
      <c r="I26" s="6">
        <f t="shared" si="4"/>
        <v>0.1</v>
      </c>
      <c r="J26" s="138">
        <v>2.76</v>
      </c>
      <c r="K26" s="138">
        <v>2.76</v>
      </c>
      <c r="L26" s="197" t="s">
        <v>308</v>
      </c>
      <c r="M26" s="157">
        <v>0.03</v>
      </c>
      <c r="N26" s="157">
        <v>0.03</v>
      </c>
      <c r="O26" s="132" t="s">
        <v>158</v>
      </c>
      <c r="P26" s="75">
        <v>1</v>
      </c>
      <c r="Q26" s="159">
        <f t="shared" si="0"/>
        <v>3.4174681443147983</v>
      </c>
      <c r="R26" s="38"/>
      <c r="S26" s="39"/>
      <c r="T26" s="100">
        <f t="shared" si="1"/>
        <v>144.92753623188406</v>
      </c>
      <c r="U26" s="2"/>
      <c r="V26" s="2"/>
      <c r="W26" s="6">
        <f t="shared" si="5"/>
        <v>686.54493970609758</v>
      </c>
      <c r="X26" s="6">
        <f t="shared" si="6"/>
        <v>29114.906832298133</v>
      </c>
    </row>
    <row r="27" spans="1:162" s="9" customFormat="1" ht="23.25">
      <c r="A27" s="34" t="s">
        <v>61</v>
      </c>
      <c r="B27" s="69" t="s">
        <v>74</v>
      </c>
      <c r="C27" s="36">
        <v>3.3799999999999997E-2</v>
      </c>
      <c r="D27" s="36">
        <v>3.3799999999999997E-2</v>
      </c>
      <c r="E27" s="47" t="s">
        <v>288</v>
      </c>
      <c r="F27" s="164">
        <v>53</v>
      </c>
      <c r="G27" s="36">
        <f t="shared" si="7"/>
        <v>5.2999999999999999E-2</v>
      </c>
      <c r="H27" s="36">
        <f t="shared" si="8"/>
        <v>1.8199879568594428</v>
      </c>
      <c r="I27" s="6">
        <f t="shared" si="4"/>
        <v>1.8571551461431104E-2</v>
      </c>
      <c r="J27" s="141">
        <v>6115</v>
      </c>
      <c r="K27" s="141">
        <v>6115</v>
      </c>
      <c r="L27" s="198" t="s">
        <v>196</v>
      </c>
      <c r="M27" s="74" t="s">
        <v>298</v>
      </c>
      <c r="N27" s="74" t="s">
        <v>298</v>
      </c>
      <c r="O27" s="132" t="s">
        <v>158</v>
      </c>
      <c r="P27" s="37">
        <v>1</v>
      </c>
      <c r="Q27" s="159">
        <f t="shared" si="0"/>
        <v>0.34575904853254574</v>
      </c>
      <c r="R27" s="38"/>
      <c r="S27" s="39"/>
      <c r="T27" s="100">
        <f t="shared" si="1"/>
        <v>0.35222107957625648</v>
      </c>
      <c r="U27" s="35">
        <f>Q27*J27</f>
        <v>2114.3165817765171</v>
      </c>
      <c r="V27" s="35"/>
      <c r="W27" s="6" t="e">
        <f t="shared" si="5"/>
        <v>#VALUE!</v>
      </c>
      <c r="X27" s="6" t="e">
        <f t="shared" si="6"/>
        <v>#VALUE!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</row>
    <row r="28" spans="1:162" ht="22.5">
      <c r="A28" s="69" t="s">
        <v>47</v>
      </c>
      <c r="B28" s="69" t="s">
        <v>49</v>
      </c>
      <c r="C28" s="70">
        <v>16</v>
      </c>
      <c r="D28" s="70">
        <v>16</v>
      </c>
      <c r="E28" s="133" t="s">
        <v>318</v>
      </c>
      <c r="F28" s="71">
        <v>30</v>
      </c>
      <c r="G28" s="72">
        <f t="shared" si="7"/>
        <v>0.03</v>
      </c>
      <c r="H28" s="73">
        <f t="shared" si="8"/>
        <v>1.9083794535528524</v>
      </c>
      <c r="I28" s="6">
        <f t="shared" si="4"/>
        <v>8.3840768512847959</v>
      </c>
      <c r="J28" s="137">
        <v>256542</v>
      </c>
      <c r="K28" s="137">
        <v>256542</v>
      </c>
      <c r="L28" s="197" t="s">
        <v>308</v>
      </c>
      <c r="M28" s="74">
        <v>5.0000000000000002E-5</v>
      </c>
      <c r="N28" s="74">
        <v>5.0000000000000002E-5</v>
      </c>
      <c r="O28" s="148" t="s">
        <v>158</v>
      </c>
      <c r="P28" s="75">
        <v>1</v>
      </c>
      <c r="Q28" s="159">
        <f t="shared" si="0"/>
        <v>1.8588863392160344E-5</v>
      </c>
      <c r="R28" s="38"/>
      <c r="S28" s="39"/>
      <c r="T28" s="159">
        <f t="shared" si="1"/>
        <v>1.8597144459317116E-5</v>
      </c>
      <c r="U28" s="2">
        <f>Q28*J28</f>
        <v>4.768824192351599</v>
      </c>
      <c r="V28" s="2"/>
      <c r="W28" s="6">
        <f t="shared" si="5"/>
        <v>5.2182073412245617E-4</v>
      </c>
      <c r="X28" s="6">
        <f t="shared" si="6"/>
        <v>5.2205319763848194E-4</v>
      </c>
    </row>
    <row r="29" spans="1:162" ht="23.25" customHeight="1">
      <c r="A29" s="69" t="s">
        <v>153</v>
      </c>
      <c r="B29" s="69" t="s">
        <v>48</v>
      </c>
      <c r="C29" s="70">
        <v>156000</v>
      </c>
      <c r="D29" s="70">
        <v>156000</v>
      </c>
      <c r="E29" s="130" t="s">
        <v>220</v>
      </c>
      <c r="F29" s="71">
        <v>350</v>
      </c>
      <c r="G29" s="72">
        <f t="shared" si="7"/>
        <v>0.35</v>
      </c>
      <c r="H29" s="73">
        <f t="shared" si="8"/>
        <v>1.5550791539731852</v>
      </c>
      <c r="I29" s="6">
        <f t="shared" si="4"/>
        <v>100316.43701314124</v>
      </c>
      <c r="J29" s="137">
        <v>5000</v>
      </c>
      <c r="K29" s="137">
        <v>5000</v>
      </c>
      <c r="L29" s="198" t="s">
        <v>159</v>
      </c>
      <c r="M29" s="158">
        <v>6.9999999999999996E-10</v>
      </c>
      <c r="N29" s="158">
        <v>6.9999999999999996E-10</v>
      </c>
      <c r="O29" s="148" t="s">
        <v>158</v>
      </c>
      <c r="P29" s="75">
        <v>1</v>
      </c>
      <c r="Q29" s="192">
        <f t="shared" si="0"/>
        <v>7.7965578554736398E-8</v>
      </c>
      <c r="R29" s="191">
        <v>3.0000000000000001E-5</v>
      </c>
      <c r="S29" s="191">
        <v>3.0000000000000001E-5</v>
      </c>
      <c r="T29" s="192">
        <f t="shared" si="1"/>
        <v>7.9747648921701801E-8</v>
      </c>
      <c r="U29" s="2">
        <f>Q29*J29</f>
        <v>3.89827892773682E-4</v>
      </c>
      <c r="V29" s="2"/>
      <c r="W29" s="153">
        <f t="shared" si="5"/>
        <v>3.6662011173184352E-7</v>
      </c>
      <c r="X29" s="153">
        <f t="shared" si="6"/>
        <v>3.7499999999999996E-7</v>
      </c>
    </row>
    <row r="30" spans="1:162" ht="28.5" customHeight="1">
      <c r="A30" s="69" t="s">
        <v>184</v>
      </c>
      <c r="B30" s="69" t="s">
        <v>185</v>
      </c>
      <c r="C30" s="2">
        <v>9.9000000000000008E-3</v>
      </c>
      <c r="D30" s="2">
        <v>9.9000000000000008E-3</v>
      </c>
      <c r="E30" s="135" t="s">
        <v>324</v>
      </c>
      <c r="F30" s="71">
        <v>350</v>
      </c>
      <c r="G30" s="72">
        <f t="shared" si="7"/>
        <v>0.35</v>
      </c>
      <c r="H30" s="73">
        <f t="shared" si="8"/>
        <v>1.5550791539731852</v>
      </c>
      <c r="I30" s="6">
        <f t="shared" si="4"/>
        <v>6.366235425833964E-3</v>
      </c>
      <c r="J30" s="137">
        <v>3.12</v>
      </c>
      <c r="K30" s="137">
        <v>3.12</v>
      </c>
      <c r="L30" s="197" t="s">
        <v>167</v>
      </c>
      <c r="M30" s="74">
        <v>6.0000000000000001E-3</v>
      </c>
      <c r="N30" s="74">
        <v>6.0000000000000001E-3</v>
      </c>
      <c r="O30" s="147" t="s">
        <v>271</v>
      </c>
      <c r="P30" s="75">
        <v>1</v>
      </c>
      <c r="Q30" s="159">
        <f t="shared" si="0"/>
        <v>53.516544191119287</v>
      </c>
      <c r="R30" s="128"/>
      <c r="S30" s="128"/>
      <c r="T30" s="100">
        <f t="shared" si="1"/>
        <v>2013.8295182247928</v>
      </c>
      <c r="U30" s="2"/>
      <c r="V30" s="2"/>
      <c r="W30" s="6">
        <f t="shared" si="5"/>
        <v>136.88795872675945</v>
      </c>
      <c r="X30" s="6">
        <f t="shared" si="6"/>
        <v>5151.0989010989006</v>
      </c>
    </row>
    <row r="31" spans="1:162" ht="22.5">
      <c r="A31" s="69" t="s">
        <v>50</v>
      </c>
      <c r="B31" s="69" t="s">
        <v>51</v>
      </c>
      <c r="C31" s="7">
        <v>4.5</v>
      </c>
      <c r="D31" s="7">
        <v>4.5</v>
      </c>
      <c r="E31" s="133" t="s">
        <v>310</v>
      </c>
      <c r="F31" s="71">
        <v>30</v>
      </c>
      <c r="G31" s="72">
        <f t="shared" si="7"/>
        <v>0.03</v>
      </c>
      <c r="H31" s="73">
        <f t="shared" si="8"/>
        <v>1.9083794535528524</v>
      </c>
      <c r="I31" s="6">
        <f t="shared" si="4"/>
        <v>2.3580216144238491</v>
      </c>
      <c r="J31" s="137">
        <v>213636</v>
      </c>
      <c r="K31" s="137">
        <v>213636</v>
      </c>
      <c r="L31" s="197" t="s">
        <v>308</v>
      </c>
      <c r="M31" s="74">
        <v>5.0000000000000001E-4</v>
      </c>
      <c r="N31" s="74">
        <v>5.0000000000000001E-4</v>
      </c>
      <c r="O31" s="133" t="s">
        <v>158</v>
      </c>
      <c r="P31" s="75">
        <v>1</v>
      </c>
      <c r="Q31" s="159">
        <f t="shared" si="0"/>
        <v>7.9360702905184808E-5</v>
      </c>
      <c r="R31" s="38">
        <v>0.4</v>
      </c>
      <c r="S31" s="38">
        <v>0.4</v>
      </c>
      <c r="T31" s="100">
        <f t="shared" si="1"/>
        <v>7.9403157335232826E-5</v>
      </c>
      <c r="U31" s="2">
        <f>Q31*J31</f>
        <v>16.954303125852061</v>
      </c>
      <c r="V31" s="2"/>
      <c r="W31" s="6">
        <f t="shared" si="5"/>
        <v>6.2656557852554242E-3</v>
      </c>
      <c r="X31" s="6">
        <f t="shared" si="6"/>
        <v>6.2690076311376092E-3</v>
      </c>
    </row>
    <row r="32" spans="1:162" ht="22.5">
      <c r="A32" s="69" t="s">
        <v>52</v>
      </c>
      <c r="B32" s="69" t="s">
        <v>53</v>
      </c>
      <c r="C32" s="7">
        <v>9.1</v>
      </c>
      <c r="D32" s="7">
        <v>9.1</v>
      </c>
      <c r="E32" s="133" t="s">
        <v>310</v>
      </c>
      <c r="F32" s="71">
        <v>30</v>
      </c>
      <c r="G32" s="72">
        <f t="shared" si="7"/>
        <v>0.03</v>
      </c>
      <c r="H32" s="73">
        <f t="shared" si="8"/>
        <v>1.9083794535528524</v>
      </c>
      <c r="I32" s="6">
        <f t="shared" si="4"/>
        <v>4.7684437091682277</v>
      </c>
      <c r="J32" s="142">
        <v>28592</v>
      </c>
      <c r="K32" s="142">
        <v>28592</v>
      </c>
      <c r="L32" s="197" t="s">
        <v>308</v>
      </c>
      <c r="M32" s="152">
        <v>1.2999999999999999E-5</v>
      </c>
      <c r="N32" s="152">
        <v>1.2999999999999999E-5</v>
      </c>
      <c r="O32" s="132" t="s">
        <v>158</v>
      </c>
      <c r="P32" s="75">
        <v>1</v>
      </c>
      <c r="Q32" s="159">
        <f t="shared" si="0"/>
        <v>2.922175720679703E-4</v>
      </c>
      <c r="R32" s="38">
        <v>0.2</v>
      </c>
      <c r="S32" s="38">
        <v>0.2</v>
      </c>
      <c r="T32" s="159">
        <f t="shared" si="1"/>
        <v>2.933856013751411E-4</v>
      </c>
      <c r="U32" s="2">
        <f>Q32*J32</f>
        <v>8.3550848205674075</v>
      </c>
      <c r="V32" s="2"/>
      <c r="W32" s="6">
        <f t="shared" si="5"/>
        <v>1.2130245242455613E-3</v>
      </c>
      <c r="X32" s="6">
        <f t="shared" si="6"/>
        <v>1.2178731313454315E-3</v>
      </c>
    </row>
    <row r="33" spans="1:24" ht="22.5">
      <c r="A33" s="69" t="s">
        <v>54</v>
      </c>
      <c r="B33" s="69" t="s">
        <v>55</v>
      </c>
      <c r="C33" s="7">
        <v>1.6</v>
      </c>
      <c r="D33" s="7">
        <v>1.6</v>
      </c>
      <c r="E33" s="134" t="s">
        <v>325</v>
      </c>
      <c r="F33" s="71">
        <v>338</v>
      </c>
      <c r="G33" s="72">
        <f t="shared" si="7"/>
        <v>0.33800000000000002</v>
      </c>
      <c r="H33" s="73">
        <f t="shared" si="8"/>
        <v>1.5596067697226907</v>
      </c>
      <c r="I33" s="6">
        <f t="shared" si="4"/>
        <v>1.0258996248679348</v>
      </c>
      <c r="J33" s="137">
        <v>57154</v>
      </c>
      <c r="K33" s="137">
        <v>57154</v>
      </c>
      <c r="L33" s="197" t="s">
        <v>308</v>
      </c>
      <c r="M33" s="74">
        <v>8.0000000000000004E-4</v>
      </c>
      <c r="N33" s="74">
        <v>8.0000000000000004E-4</v>
      </c>
      <c r="O33" s="132" t="s">
        <v>158</v>
      </c>
      <c r="P33" s="75">
        <v>1</v>
      </c>
      <c r="Q33" s="159">
        <f t="shared" si="0"/>
        <v>6.8083353215060661E-4</v>
      </c>
      <c r="R33" s="38">
        <v>1</v>
      </c>
      <c r="S33" s="38">
        <v>1</v>
      </c>
      <c r="T33" s="159">
        <f t="shared" si="1"/>
        <v>6.821949337415975E-4</v>
      </c>
      <c r="U33" s="2">
        <f>Q33*J33</f>
        <v>38.912359696535773</v>
      </c>
      <c r="V33" s="2"/>
      <c r="W33" s="6">
        <f t="shared" si="5"/>
        <v>3.7417867780222408E-2</v>
      </c>
      <c r="X33" s="6">
        <f t="shared" si="6"/>
        <v>3.7492688925659497E-2</v>
      </c>
    </row>
    <row r="34" spans="1:24" ht="22.5">
      <c r="A34" s="69" t="s">
        <v>56</v>
      </c>
      <c r="B34" s="69" t="s">
        <v>57</v>
      </c>
      <c r="C34" s="73">
        <v>7.8E-2</v>
      </c>
      <c r="D34" s="73">
        <v>7.8E-2</v>
      </c>
      <c r="E34" s="134" t="s">
        <v>307</v>
      </c>
      <c r="F34" s="71">
        <v>610</v>
      </c>
      <c r="G34" s="72">
        <f t="shared" si="7"/>
        <v>0.61</v>
      </c>
      <c r="H34" s="73">
        <f>POWER(70/G34,1/12)</f>
        <v>1.4847295438614623</v>
      </c>
      <c r="I34" s="6">
        <f t="shared" si="4"/>
        <v>5.2534820447593958E-2</v>
      </c>
      <c r="J34" s="139">
        <v>3525</v>
      </c>
      <c r="K34" s="139">
        <v>3525</v>
      </c>
      <c r="L34" s="197" t="s">
        <v>308</v>
      </c>
      <c r="M34" s="74">
        <v>1E-3</v>
      </c>
      <c r="N34" s="74">
        <v>1E-3</v>
      </c>
      <c r="O34" s="149" t="s">
        <v>271</v>
      </c>
      <c r="P34" s="75">
        <v>1</v>
      </c>
      <c r="Q34" s="159">
        <f t="shared" si="0"/>
        <v>0.20921681501784528</v>
      </c>
      <c r="R34" s="38"/>
      <c r="S34" s="39"/>
      <c r="T34" s="100">
        <f t="shared" si="1"/>
        <v>0.21599993364051098</v>
      </c>
      <c r="U34" s="2"/>
      <c r="V34" s="2"/>
      <c r="W34" s="6">
        <f t="shared" si="5"/>
        <v>0.73601570166830232</v>
      </c>
      <c r="X34" s="6">
        <f t="shared" si="6"/>
        <v>0.75987841945288759</v>
      </c>
    </row>
    <row r="35" spans="1:24" ht="22.5">
      <c r="A35" s="76" t="s">
        <v>69</v>
      </c>
      <c r="B35" s="69" t="s">
        <v>58</v>
      </c>
      <c r="C35" s="7">
        <v>6.3</v>
      </c>
      <c r="D35" s="7">
        <v>6.3</v>
      </c>
      <c r="E35" s="133" t="s">
        <v>310</v>
      </c>
      <c r="F35" s="71">
        <v>30</v>
      </c>
      <c r="G35" s="72">
        <f t="shared" si="7"/>
        <v>0.03</v>
      </c>
      <c r="H35" s="73">
        <f t="shared" si="8"/>
        <v>1.9083794535528524</v>
      </c>
      <c r="I35" s="6">
        <f t="shared" si="4"/>
        <v>3.3012302601933885</v>
      </c>
      <c r="J35" s="137">
        <v>1447.34</v>
      </c>
      <c r="K35" s="137">
        <v>1447.34</v>
      </c>
      <c r="L35" s="197" t="s">
        <v>308</v>
      </c>
      <c r="M35" s="74">
        <v>8.0000000000000002E-3</v>
      </c>
      <c r="N35" s="74">
        <v>8.0000000000000002E-3</v>
      </c>
      <c r="O35" s="132" t="s">
        <v>224</v>
      </c>
      <c r="P35" s="75">
        <v>1</v>
      </c>
      <c r="Q35" s="159">
        <f t="shared" si="0"/>
        <v>7.7590262713718681E-3</v>
      </c>
      <c r="R35" s="38"/>
      <c r="S35" s="39"/>
      <c r="T35" s="100">
        <f t="shared" si="1"/>
        <v>8.3716990777514023E-3</v>
      </c>
      <c r="U35" s="2"/>
      <c r="V35" s="2"/>
      <c r="W35" s="6">
        <f t="shared" si="5"/>
        <v>13.721963741083011</v>
      </c>
      <c r="X35" s="6">
        <f t="shared" si="6"/>
        <v>14.805485531092508</v>
      </c>
    </row>
    <row r="36" spans="1:24" ht="22.5">
      <c r="A36" s="76" t="s">
        <v>70</v>
      </c>
      <c r="B36" s="69" t="s">
        <v>59</v>
      </c>
      <c r="C36" s="7">
        <v>1.8</v>
      </c>
      <c r="D36" s="7">
        <v>1.8</v>
      </c>
      <c r="E36" s="133" t="s">
        <v>310</v>
      </c>
      <c r="F36" s="71">
        <v>30</v>
      </c>
      <c r="G36" s="72">
        <f t="shared" si="7"/>
        <v>0.03</v>
      </c>
      <c r="H36" s="73">
        <f t="shared" si="8"/>
        <v>1.9083794535528524</v>
      </c>
      <c r="I36" s="6">
        <f t="shared" si="4"/>
        <v>0.94320864576953967</v>
      </c>
      <c r="J36" s="137">
        <v>162</v>
      </c>
      <c r="K36" s="137">
        <v>162</v>
      </c>
      <c r="L36" s="197" t="s">
        <v>308</v>
      </c>
      <c r="M36" s="74" t="s">
        <v>298</v>
      </c>
      <c r="N36" s="74" t="s">
        <v>298</v>
      </c>
      <c r="O36" s="132" t="s">
        <v>158</v>
      </c>
      <c r="P36" s="75">
        <v>1</v>
      </c>
      <c r="Q36" s="159">
        <f t="shared" si="0"/>
        <v>0.15349484286878048</v>
      </c>
      <c r="R36" s="38"/>
      <c r="S36" s="39"/>
      <c r="T36" s="100">
        <f t="shared" si="1"/>
        <v>0.2617804463035463</v>
      </c>
      <c r="U36" s="2"/>
      <c r="V36" s="2"/>
      <c r="W36" s="6" t="e">
        <f t="shared" si="5"/>
        <v>#VALUE!</v>
      </c>
      <c r="X36" s="6" t="e">
        <f t="shared" si="6"/>
        <v>#VALUE!</v>
      </c>
    </row>
    <row r="37" spans="1:24" ht="45">
      <c r="A37" s="69" t="s">
        <v>62</v>
      </c>
      <c r="B37" s="69" t="s">
        <v>148</v>
      </c>
      <c r="C37" s="73">
        <v>0.04</v>
      </c>
      <c r="D37" s="73">
        <v>0.04</v>
      </c>
      <c r="E37" s="129" t="s">
        <v>215</v>
      </c>
      <c r="F37" s="71">
        <v>340</v>
      </c>
      <c r="G37" s="72">
        <f t="shared" si="7"/>
        <v>0.34</v>
      </c>
      <c r="H37" s="73">
        <v>1</v>
      </c>
      <c r="I37" s="6">
        <f t="shared" si="4"/>
        <v>0.04</v>
      </c>
      <c r="J37" s="138">
        <v>429</v>
      </c>
      <c r="K37" s="138">
        <v>429</v>
      </c>
      <c r="L37" s="197" t="s">
        <v>308</v>
      </c>
      <c r="M37" s="74">
        <v>6.9999999999999999E-4</v>
      </c>
      <c r="N37" s="74">
        <v>6.9999999999999999E-4</v>
      </c>
      <c r="O37" s="132" t="s">
        <v>158</v>
      </c>
      <c r="P37" s="75">
        <v>1</v>
      </c>
      <c r="Q37" s="159">
        <f t="shared" si="0"/>
        <v>1.8406521167499343</v>
      </c>
      <c r="R37" s="38"/>
      <c r="S37" s="39"/>
      <c r="T37" s="100">
        <f t="shared" si="1"/>
        <v>2.3310023310023307</v>
      </c>
      <c r="U37" s="2"/>
      <c r="V37" s="2"/>
      <c r="W37" s="6">
        <f t="shared" si="5"/>
        <v>3.4512227189061266</v>
      </c>
      <c r="X37" s="6">
        <f t="shared" si="6"/>
        <v>4.3706293706293708</v>
      </c>
    </row>
    <row r="38" spans="1:24" ht="56.25">
      <c r="A38" s="69" t="s">
        <v>335</v>
      </c>
      <c r="B38" s="69" t="s">
        <v>156</v>
      </c>
      <c r="C38" s="2">
        <v>1.8E-3</v>
      </c>
      <c r="D38" s="2">
        <v>1.8E-3</v>
      </c>
      <c r="E38" s="129" t="s">
        <v>216</v>
      </c>
      <c r="F38" s="71">
        <v>425</v>
      </c>
      <c r="G38" s="72">
        <f t="shared" si="7"/>
        <v>0.42499999999999999</v>
      </c>
      <c r="H38" s="73">
        <v>1</v>
      </c>
      <c r="I38" s="6">
        <f t="shared" si="4"/>
        <v>1.8E-3</v>
      </c>
      <c r="J38" s="138">
        <v>2.12</v>
      </c>
      <c r="K38" s="138">
        <v>2.12</v>
      </c>
      <c r="L38" s="198" t="s">
        <v>167</v>
      </c>
      <c r="M38" s="74">
        <v>0.01</v>
      </c>
      <c r="N38" s="74">
        <v>0.01</v>
      </c>
      <c r="O38" s="132" t="s">
        <v>218</v>
      </c>
      <c r="P38" s="37">
        <v>1</v>
      </c>
      <c r="Q38" s="159" t="s">
        <v>280</v>
      </c>
      <c r="R38" s="38"/>
      <c r="S38" s="39"/>
      <c r="T38" s="100">
        <f t="shared" si="1"/>
        <v>10482.180293501047</v>
      </c>
      <c r="U38" s="2"/>
      <c r="V38" s="2"/>
      <c r="W38" s="6">
        <f t="shared" si="5"/>
        <v>230.10652398016788</v>
      </c>
      <c r="X38" s="6">
        <f t="shared" si="6"/>
        <v>12634.770889487871</v>
      </c>
    </row>
    <row r="39" spans="1:24" ht="22.5">
      <c r="A39" s="69" t="s">
        <v>66</v>
      </c>
      <c r="B39" s="69" t="s">
        <v>67</v>
      </c>
      <c r="C39" s="5">
        <v>150</v>
      </c>
      <c r="D39" s="5">
        <v>150</v>
      </c>
      <c r="E39" s="134" t="s">
        <v>307</v>
      </c>
      <c r="F39" s="71">
        <v>250</v>
      </c>
      <c r="G39" s="72">
        <f t="shared" ref="G39:G47" si="9">F39/1000</f>
        <v>0.25</v>
      </c>
      <c r="H39" s="73">
        <f t="shared" ref="H39:H47" si="10">POWER(70/G39,1/12)</f>
        <v>1.5992996269623847</v>
      </c>
      <c r="I39" s="6">
        <f t="shared" si="4"/>
        <v>93.791055454005914</v>
      </c>
      <c r="J39" s="138">
        <v>0.2</v>
      </c>
      <c r="K39" s="138">
        <v>0.2</v>
      </c>
      <c r="L39" s="198" t="s">
        <v>159</v>
      </c>
      <c r="M39" s="74" t="s">
        <v>298</v>
      </c>
      <c r="N39" s="74" t="s">
        <v>298</v>
      </c>
      <c r="O39" s="134" t="s">
        <v>158</v>
      </c>
      <c r="P39" s="75">
        <v>1</v>
      </c>
      <c r="Q39" s="159">
        <f t="shared" si="0"/>
        <v>3.7251800644660825E-3</v>
      </c>
      <c r="R39" s="38"/>
      <c r="S39" s="38"/>
      <c r="T39" s="100">
        <f t="shared" si="1"/>
        <v>2.1323995026165128</v>
      </c>
      <c r="U39" s="2"/>
      <c r="V39" s="2"/>
      <c r="W39" s="6" t="e">
        <f t="shared" si="5"/>
        <v>#VALUE!</v>
      </c>
      <c r="X39" s="6" t="e">
        <f t="shared" si="6"/>
        <v>#VALUE!</v>
      </c>
    </row>
    <row r="40" spans="1:24" ht="22.5">
      <c r="A40" s="77" t="s">
        <v>68</v>
      </c>
      <c r="B40" s="69" t="s">
        <v>72</v>
      </c>
      <c r="C40" s="5">
        <v>5.43</v>
      </c>
      <c r="D40" s="98">
        <v>5.4</v>
      </c>
      <c r="E40" s="133" t="s">
        <v>310</v>
      </c>
      <c r="F40" s="71">
        <v>30</v>
      </c>
      <c r="G40" s="78">
        <f t="shared" si="9"/>
        <v>0.03</v>
      </c>
      <c r="H40" s="73">
        <f t="shared" si="10"/>
        <v>1.9083794535528524</v>
      </c>
      <c r="I40" s="6">
        <f t="shared" si="4"/>
        <v>2.8296259373086192</v>
      </c>
      <c r="J40" s="5">
        <v>3.38</v>
      </c>
      <c r="K40" s="5">
        <v>3.38</v>
      </c>
      <c r="L40" s="198" t="s">
        <v>159</v>
      </c>
      <c r="M40" s="74" t="s">
        <v>298</v>
      </c>
      <c r="N40" s="74" t="s">
        <v>298</v>
      </c>
      <c r="O40" s="134" t="s">
        <v>158</v>
      </c>
      <c r="P40" s="75">
        <v>1</v>
      </c>
      <c r="Q40" s="160">
        <f t="shared" si="0"/>
        <v>0.12013817437139172</v>
      </c>
      <c r="R40" s="80"/>
      <c r="S40" s="38"/>
      <c r="T40" s="161">
        <f t="shared" si="1"/>
        <v>4.182291153961982</v>
      </c>
      <c r="U40" s="2"/>
      <c r="V40" s="2"/>
      <c r="W40" s="6" t="e">
        <f t="shared" si="5"/>
        <v>#VALUE!</v>
      </c>
      <c r="X40" s="6" t="e">
        <f t="shared" si="6"/>
        <v>#VALUE!</v>
      </c>
    </row>
    <row r="41" spans="1:24" ht="22.5">
      <c r="A41" s="69" t="s">
        <v>334</v>
      </c>
      <c r="B41" s="69" t="s">
        <v>75</v>
      </c>
      <c r="C41" s="70">
        <v>2</v>
      </c>
      <c r="D41" s="70">
        <v>2</v>
      </c>
      <c r="E41" s="134" t="s">
        <v>326</v>
      </c>
      <c r="F41" s="71">
        <v>338</v>
      </c>
      <c r="G41" s="72">
        <f t="shared" si="9"/>
        <v>0.33800000000000002</v>
      </c>
      <c r="H41" s="73">
        <v>1</v>
      </c>
      <c r="I41" s="6">
        <f t="shared" si="4"/>
        <v>2</v>
      </c>
      <c r="J41" s="137">
        <v>31200</v>
      </c>
      <c r="K41" s="137">
        <v>31200</v>
      </c>
      <c r="L41" s="198" t="s">
        <v>159</v>
      </c>
      <c r="M41" s="74" t="s">
        <v>298</v>
      </c>
      <c r="N41" s="74" t="s">
        <v>298</v>
      </c>
      <c r="O41" s="134" t="s">
        <v>158</v>
      </c>
      <c r="P41" s="75">
        <v>1</v>
      </c>
      <c r="Q41" s="159">
        <f t="shared" si="0"/>
        <v>6.3868613138686142E-4</v>
      </c>
      <c r="R41" s="38">
        <v>0.5</v>
      </c>
      <c r="S41" s="38">
        <v>0.5</v>
      </c>
      <c r="T41" s="100">
        <f t="shared" si="1"/>
        <v>6.4102564102564113E-4</v>
      </c>
      <c r="U41" s="2">
        <f>Q41*J41</f>
        <v>19.927007299270077</v>
      </c>
      <c r="V41" s="2"/>
      <c r="W41" s="6" t="e">
        <f t="shared" si="5"/>
        <v>#VALUE!</v>
      </c>
      <c r="X41" s="6" t="e">
        <f t="shared" si="6"/>
        <v>#VALUE!</v>
      </c>
    </row>
    <row r="42" spans="1:24" ht="135">
      <c r="A42" s="62" t="s">
        <v>244</v>
      </c>
      <c r="B42" s="69" t="s">
        <v>76</v>
      </c>
      <c r="C42" s="5">
        <v>0.4</v>
      </c>
      <c r="D42" s="5">
        <v>0.4</v>
      </c>
      <c r="E42" s="131" t="s">
        <v>327</v>
      </c>
      <c r="F42" s="71">
        <v>38</v>
      </c>
      <c r="G42" s="64">
        <f t="shared" si="9"/>
        <v>3.7999999999999999E-2</v>
      </c>
      <c r="H42" s="73">
        <v>1</v>
      </c>
      <c r="I42" s="6">
        <f t="shared" si="4"/>
        <v>0.4</v>
      </c>
      <c r="J42" s="136">
        <v>342</v>
      </c>
      <c r="K42" s="136">
        <v>342</v>
      </c>
      <c r="L42" s="196" t="s">
        <v>308</v>
      </c>
      <c r="M42" s="74">
        <v>5.0000000000000001E-3</v>
      </c>
      <c r="N42" s="74">
        <v>5.0000000000000001E-3</v>
      </c>
      <c r="O42" s="134" t="s">
        <v>158</v>
      </c>
      <c r="P42" s="75">
        <v>1</v>
      </c>
      <c r="Q42" s="159">
        <f t="shared" si="0"/>
        <v>0.21916092673763304</v>
      </c>
      <c r="R42" s="39">
        <v>1</v>
      </c>
      <c r="S42" s="39">
        <v>1</v>
      </c>
      <c r="T42" s="100">
        <f t="shared" si="1"/>
        <v>0.29239766081871349</v>
      </c>
      <c r="U42" s="2"/>
      <c r="V42" s="2"/>
      <c r="W42" s="6">
        <f t="shared" si="5"/>
        <v>29.351909830932996</v>
      </c>
      <c r="X42" s="6">
        <f t="shared" si="6"/>
        <v>39.160401002506262</v>
      </c>
    </row>
    <row r="43" spans="1:24" ht="135">
      <c r="A43" s="62" t="s">
        <v>241</v>
      </c>
      <c r="B43" s="69" t="s">
        <v>139</v>
      </c>
      <c r="C43" s="7">
        <v>0.2</v>
      </c>
      <c r="D43" s="7">
        <v>0.2</v>
      </c>
      <c r="E43" s="131" t="s">
        <v>328</v>
      </c>
      <c r="F43" s="71">
        <v>30</v>
      </c>
      <c r="G43" s="64">
        <f t="shared" si="9"/>
        <v>0.03</v>
      </c>
      <c r="H43" s="73">
        <v>1</v>
      </c>
      <c r="I43" s="6">
        <f t="shared" si="4"/>
        <v>0.2</v>
      </c>
      <c r="J43" s="143">
        <v>7.59</v>
      </c>
      <c r="K43" s="143">
        <v>7.59</v>
      </c>
      <c r="L43" s="196" t="s">
        <v>308</v>
      </c>
      <c r="M43" s="74">
        <v>0.02</v>
      </c>
      <c r="N43" s="74">
        <v>0.02</v>
      </c>
      <c r="O43" s="145" t="s">
        <v>266</v>
      </c>
      <c r="P43" s="75">
        <v>1</v>
      </c>
      <c r="Q43" s="159">
        <f t="shared" si="0"/>
        <v>1.6410160233493138</v>
      </c>
      <c r="R43" s="39"/>
      <c r="S43" s="39"/>
      <c r="T43" s="100">
        <f t="shared" si="1"/>
        <v>26.350461133069828</v>
      </c>
      <c r="U43" s="2"/>
      <c r="V43" s="2"/>
      <c r="W43" s="6">
        <f t="shared" si="5"/>
        <v>439.55786339713762</v>
      </c>
      <c r="X43" s="6">
        <f t="shared" si="6"/>
        <v>7058.1592320722757</v>
      </c>
    </row>
    <row r="44" spans="1:24" ht="45">
      <c r="A44" s="69" t="s">
        <v>63</v>
      </c>
      <c r="B44" s="69" t="s">
        <v>77</v>
      </c>
      <c r="C44" s="2">
        <v>2.0999999999999999E-3</v>
      </c>
      <c r="D44" s="2">
        <v>2.0999999999999999E-3</v>
      </c>
      <c r="E44" s="134" t="s">
        <v>329</v>
      </c>
      <c r="F44" s="71">
        <v>48</v>
      </c>
      <c r="G44" s="72">
        <f t="shared" si="9"/>
        <v>4.8000000000000001E-2</v>
      </c>
      <c r="H44" s="73">
        <v>1</v>
      </c>
      <c r="I44" s="6">
        <f t="shared" si="4"/>
        <v>2.0999999999999999E-3</v>
      </c>
      <c r="J44" s="138">
        <v>67.900000000000006</v>
      </c>
      <c r="K44" s="138">
        <v>67.900000000000006</v>
      </c>
      <c r="L44" s="196" t="s">
        <v>308</v>
      </c>
      <c r="M44" s="74">
        <v>6.0000000000000001E-3</v>
      </c>
      <c r="N44" s="74">
        <v>6.0000000000000001E-3</v>
      </c>
      <c r="O44" s="134" t="s">
        <v>279</v>
      </c>
      <c r="P44" s="75">
        <v>1</v>
      </c>
      <c r="Q44" s="66">
        <f t="shared" si="0"/>
        <v>104.55056326615961</v>
      </c>
      <c r="R44" s="38">
        <v>5</v>
      </c>
      <c r="S44" s="162">
        <v>5</v>
      </c>
      <c r="T44" s="6">
        <f t="shared" si="1"/>
        <v>280.5245809664072</v>
      </c>
      <c r="U44" s="2"/>
      <c r="V44" s="2"/>
      <c r="W44" s="6">
        <f t="shared" si="5"/>
        <v>88.21453775582215</v>
      </c>
      <c r="X44" s="100">
        <f t="shared" si="6"/>
        <v>236.69261519040606</v>
      </c>
    </row>
    <row r="45" spans="1:24" ht="22.5">
      <c r="A45" s="69" t="s">
        <v>64</v>
      </c>
      <c r="B45" s="69" t="s">
        <v>78</v>
      </c>
      <c r="C45" s="7">
        <v>1.1000000000000001</v>
      </c>
      <c r="D45" s="7">
        <v>1.1000000000000001</v>
      </c>
      <c r="E45" s="133" t="s">
        <v>318</v>
      </c>
      <c r="F45" s="71">
        <v>30</v>
      </c>
      <c r="G45" s="72">
        <f t="shared" si="9"/>
        <v>0.03</v>
      </c>
      <c r="H45" s="73">
        <f t="shared" si="10"/>
        <v>1.9083794535528524</v>
      </c>
      <c r="I45" s="6">
        <f t="shared" si="4"/>
        <v>0.57640528352582987</v>
      </c>
      <c r="J45" s="137">
        <v>6216.05</v>
      </c>
      <c r="K45" s="137">
        <v>6216.05</v>
      </c>
      <c r="L45" s="196" t="s">
        <v>308</v>
      </c>
      <c r="M45" s="74">
        <v>3.5E-4</v>
      </c>
      <c r="N45" s="74">
        <v>3.5E-4</v>
      </c>
      <c r="O45" s="145" t="s">
        <v>267</v>
      </c>
      <c r="P45" s="75">
        <v>1</v>
      </c>
      <c r="Q45" s="159">
        <f t="shared" si="0"/>
        <v>1.0962391194549982E-2</v>
      </c>
      <c r="R45" s="38">
        <v>3</v>
      </c>
      <c r="S45" s="38">
        <v>3</v>
      </c>
      <c r="T45" s="100">
        <f t="shared" si="1"/>
        <v>1.1163941167273587E-2</v>
      </c>
      <c r="U45" s="2">
        <f>Q45*J45</f>
        <v>68.142771784882413</v>
      </c>
      <c r="V45" s="2"/>
      <c r="W45" s="6">
        <f t="shared" si="5"/>
        <v>0.14809641104567914</v>
      </c>
      <c r="X45" s="6">
        <f t="shared" si="6"/>
        <v>0.15081925016690664</v>
      </c>
    </row>
    <row r="46" spans="1:24" ht="22.5">
      <c r="A46" s="69" t="s">
        <v>144</v>
      </c>
      <c r="B46" s="69" t="s">
        <v>145</v>
      </c>
      <c r="C46" s="73">
        <v>5.7000000000000002E-2</v>
      </c>
      <c r="D46" s="73">
        <v>5.7000000000000002E-2</v>
      </c>
      <c r="E46" s="133" t="s">
        <v>310</v>
      </c>
      <c r="F46" s="71">
        <v>33</v>
      </c>
      <c r="G46" s="72">
        <f t="shared" si="9"/>
        <v>3.3000000000000002E-2</v>
      </c>
      <c r="H46" s="73">
        <f t="shared" si="10"/>
        <v>1.8932821557711952</v>
      </c>
      <c r="I46" s="6">
        <f t="shared" si="4"/>
        <v>3.0106447592214303E-2</v>
      </c>
      <c r="J46" s="138">
        <v>8.01</v>
      </c>
      <c r="K46" s="138">
        <v>8.01</v>
      </c>
      <c r="L46" s="196" t="s">
        <v>308</v>
      </c>
      <c r="M46" s="74">
        <v>4.0000000000000001E-3</v>
      </c>
      <c r="N46" s="74">
        <v>4.0000000000000001E-3</v>
      </c>
      <c r="O46" s="132" t="s">
        <v>158</v>
      </c>
      <c r="P46" s="75">
        <v>1</v>
      </c>
      <c r="Q46" s="66">
        <f t="shared" si="0"/>
        <v>10.863987053361036</v>
      </c>
      <c r="R46" s="38">
        <v>5</v>
      </c>
      <c r="S46" s="162">
        <v>5</v>
      </c>
      <c r="T46" s="100">
        <f t="shared" si="1"/>
        <v>165.87004452953065</v>
      </c>
      <c r="U46" s="2"/>
      <c r="V46" s="2"/>
      <c r="W46" s="6">
        <f t="shared" si="5"/>
        <v>87.60965808870769</v>
      </c>
      <c r="X46" s="6">
        <f t="shared" si="6"/>
        <v>1337.6136971642591</v>
      </c>
    </row>
    <row r="47" spans="1:24" ht="48" customHeight="1">
      <c r="A47" s="69" t="s">
        <v>65</v>
      </c>
      <c r="B47" s="69" t="s">
        <v>79</v>
      </c>
      <c r="C47" s="2">
        <v>4.5999999999999999E-2</v>
      </c>
      <c r="D47" s="2">
        <v>4.5999999999999999E-2</v>
      </c>
      <c r="E47" s="134" t="s">
        <v>219</v>
      </c>
      <c r="F47" s="71">
        <v>70000</v>
      </c>
      <c r="G47" s="72">
        <f t="shared" si="9"/>
        <v>70</v>
      </c>
      <c r="H47" s="73">
        <f t="shared" si="10"/>
        <v>1</v>
      </c>
      <c r="I47" s="6">
        <f t="shared" si="4"/>
        <v>4.5999999999999999E-2</v>
      </c>
      <c r="J47" s="138">
        <v>12.09</v>
      </c>
      <c r="K47" s="138">
        <v>12.09</v>
      </c>
      <c r="L47" s="196" t="s">
        <v>308</v>
      </c>
      <c r="M47" s="74">
        <v>5.0000000000000001E-4</v>
      </c>
      <c r="N47" s="74">
        <v>5.0000000000000001E-4</v>
      </c>
      <c r="O47" s="132" t="s">
        <v>158</v>
      </c>
      <c r="P47" s="75">
        <v>1</v>
      </c>
      <c r="Q47" s="66">
        <f t="shared" si="0"/>
        <v>6.880793689722406</v>
      </c>
      <c r="R47" s="38">
        <v>5</v>
      </c>
      <c r="S47" s="162">
        <v>5</v>
      </c>
      <c r="T47" s="100">
        <f t="shared" si="1"/>
        <v>71.924335598949909</v>
      </c>
      <c r="U47" s="2"/>
      <c r="V47" s="2"/>
      <c r="W47" s="6">
        <f t="shared" si="5"/>
        <v>10.597650995331382</v>
      </c>
      <c r="X47" s="6">
        <f t="shared" si="6"/>
        <v>110.77632045373981</v>
      </c>
    </row>
    <row r="48" spans="1:24" s="81" customFormat="1" ht="22.5">
      <c r="A48" s="69" t="s">
        <v>245</v>
      </c>
      <c r="B48" s="69" t="s">
        <v>80</v>
      </c>
      <c r="C48" s="75">
        <v>1.5</v>
      </c>
      <c r="D48" s="75">
        <v>1.5</v>
      </c>
      <c r="E48" s="146" t="s">
        <v>268</v>
      </c>
      <c r="F48" s="71">
        <v>297</v>
      </c>
      <c r="G48" s="72">
        <f>F48/1000</f>
        <v>0.29699999999999999</v>
      </c>
      <c r="H48" s="73">
        <v>1</v>
      </c>
      <c r="I48" s="6">
        <f t="shared" si="4"/>
        <v>1.5</v>
      </c>
      <c r="J48" s="139">
        <v>1.62</v>
      </c>
      <c r="K48" s="139">
        <v>1.62</v>
      </c>
      <c r="L48" s="197" t="s">
        <v>308</v>
      </c>
      <c r="M48" s="74">
        <v>3.0000000000000001E-3</v>
      </c>
      <c r="N48" s="74">
        <v>3.0000000000000001E-3</v>
      </c>
      <c r="O48" s="132" t="s">
        <v>158</v>
      </c>
      <c r="P48" s="75">
        <v>1</v>
      </c>
      <c r="Q48" s="184">
        <f t="shared" si="0"/>
        <v>0.23007206185651718</v>
      </c>
      <c r="R48" s="38">
        <v>2</v>
      </c>
      <c r="S48" s="38">
        <v>2</v>
      </c>
      <c r="T48" s="99">
        <f t="shared" si="1"/>
        <v>16.460905349794238</v>
      </c>
      <c r="U48" s="2"/>
      <c r="V48" s="2"/>
      <c r="W48" s="6">
        <f t="shared" si="5"/>
        <v>69.32975078265585</v>
      </c>
      <c r="X48" s="6">
        <f t="shared" si="6"/>
        <v>4960.3174603174602</v>
      </c>
    </row>
    <row r="49" spans="1:24">
      <c r="A49" s="50"/>
      <c r="B49" s="50"/>
      <c r="C49" s="82"/>
      <c r="D49" s="82"/>
      <c r="E49" s="166"/>
      <c r="F49" s="83"/>
      <c r="G49" s="84"/>
      <c r="H49" s="85"/>
      <c r="I49" s="86"/>
      <c r="J49" s="79"/>
      <c r="K49" s="79"/>
      <c r="L49" s="199"/>
      <c r="M49" s="87"/>
      <c r="N49" s="87"/>
      <c r="O49" s="167"/>
      <c r="P49" s="82"/>
      <c r="Q49" s="87"/>
      <c r="R49" s="88"/>
      <c r="S49" s="88"/>
      <c r="T49" s="86"/>
      <c r="U49" s="86"/>
      <c r="V49" s="86"/>
      <c r="W49" s="86"/>
      <c r="X49" s="86"/>
    </row>
    <row r="50" spans="1:24">
      <c r="A50" s="121" t="s">
        <v>289</v>
      </c>
      <c r="B50" s="50"/>
      <c r="C50" s="82"/>
      <c r="D50" s="82"/>
      <c r="E50" s="50"/>
      <c r="F50" s="83"/>
      <c r="G50" s="84"/>
      <c r="H50" s="85"/>
      <c r="I50" s="86"/>
      <c r="J50" s="79"/>
      <c r="K50" s="79"/>
      <c r="L50" s="199"/>
      <c r="M50" s="87"/>
      <c r="N50" s="87"/>
      <c r="O50" s="122"/>
      <c r="P50" s="82"/>
      <c r="Q50" s="87"/>
      <c r="R50" s="88"/>
      <c r="S50" s="88"/>
      <c r="T50" s="86"/>
      <c r="U50" s="86"/>
      <c r="V50" s="86"/>
      <c r="W50" s="86"/>
      <c r="X50" s="86"/>
    </row>
    <row r="51" spans="1:24">
      <c r="A51" s="123" t="s">
        <v>272</v>
      </c>
      <c r="B51" s="50"/>
      <c r="C51" s="82"/>
      <c r="D51" s="82"/>
      <c r="E51" s="50"/>
      <c r="F51" s="83"/>
      <c r="G51" s="84"/>
      <c r="H51" s="85"/>
      <c r="I51" s="86"/>
      <c r="J51" s="79"/>
      <c r="K51" s="79"/>
      <c r="L51" s="199"/>
      <c r="M51" s="87"/>
      <c r="N51" s="87"/>
      <c r="O51" s="122"/>
      <c r="P51" s="82"/>
      <c r="Q51" s="87"/>
      <c r="R51" s="88"/>
      <c r="S51" s="88"/>
      <c r="T51" s="86"/>
      <c r="U51" s="86"/>
      <c r="V51" s="86"/>
      <c r="W51" s="86"/>
      <c r="X51" s="86"/>
    </row>
    <row r="52" spans="1:24">
      <c r="A52" s="155" t="s">
        <v>290</v>
      </c>
      <c r="B52" s="155"/>
      <c r="C52" s="156"/>
      <c r="D52" s="82"/>
      <c r="E52" s="50"/>
      <c r="F52" s="83"/>
      <c r="G52" s="84"/>
      <c r="H52" s="85"/>
      <c r="I52" s="86"/>
      <c r="J52" s="79"/>
      <c r="K52" s="79"/>
      <c r="L52" s="199"/>
      <c r="M52" s="87"/>
      <c r="N52" s="87"/>
      <c r="O52" s="122"/>
      <c r="P52" s="82"/>
      <c r="Q52" s="87"/>
      <c r="R52" s="88"/>
      <c r="S52" s="88"/>
      <c r="T52" s="86"/>
      <c r="U52" s="86"/>
      <c r="V52" s="86"/>
      <c r="W52" s="86"/>
      <c r="X52" s="86"/>
    </row>
    <row r="53" spans="1:24">
      <c r="A53" s="54"/>
      <c r="B53" s="50"/>
      <c r="C53" s="82"/>
      <c r="D53" s="82"/>
      <c r="E53" s="89"/>
      <c r="F53" s="83"/>
      <c r="G53" s="84"/>
      <c r="H53" s="85"/>
      <c r="I53" s="86"/>
      <c r="J53" s="79"/>
      <c r="K53" s="79"/>
      <c r="L53" s="199"/>
      <c r="M53" s="87"/>
      <c r="N53" s="87"/>
      <c r="O53" s="122"/>
      <c r="P53" s="82"/>
      <c r="Q53" s="87"/>
      <c r="R53" s="88"/>
      <c r="S53" s="88"/>
      <c r="T53" s="86"/>
      <c r="U53" s="86"/>
      <c r="V53" s="86"/>
      <c r="W53" s="86"/>
      <c r="X53" s="86"/>
    </row>
    <row r="54" spans="1:24">
      <c r="A54" s="90"/>
      <c r="B54" s="50"/>
      <c r="C54" s="82"/>
      <c r="D54" s="82"/>
      <c r="E54" s="89"/>
      <c r="F54" s="83"/>
      <c r="G54" s="84"/>
      <c r="H54" s="85"/>
      <c r="I54" s="86"/>
      <c r="J54" s="79"/>
      <c r="K54" s="79"/>
      <c r="L54" s="199"/>
      <c r="M54" s="87"/>
      <c r="N54" s="87"/>
      <c r="O54" s="122"/>
      <c r="P54" s="82"/>
      <c r="Q54" s="87"/>
      <c r="R54" s="88"/>
      <c r="S54" s="88"/>
      <c r="T54" s="86"/>
      <c r="U54" s="86"/>
      <c r="V54" s="86"/>
      <c r="W54" s="86"/>
      <c r="X54" s="86"/>
    </row>
    <row r="55" spans="1:24">
      <c r="A55" s="91" t="s">
        <v>151</v>
      </c>
      <c r="J55" s="96"/>
      <c r="K55" s="96"/>
      <c r="L55" s="200"/>
    </row>
    <row r="56" spans="1:24">
      <c r="A56" s="97" t="s">
        <v>223</v>
      </c>
      <c r="J56" s="96"/>
      <c r="K56" s="96"/>
      <c r="L56" s="200"/>
    </row>
    <row r="57" spans="1:24">
      <c r="A57" s="97" t="s">
        <v>221</v>
      </c>
      <c r="J57" s="96"/>
      <c r="K57" s="96"/>
      <c r="L57" s="200"/>
    </row>
    <row r="58" spans="1:24">
      <c r="A58" s="97" t="s">
        <v>222</v>
      </c>
      <c r="J58" s="96"/>
      <c r="K58" s="96"/>
      <c r="L58" s="200"/>
    </row>
    <row r="59" spans="1:24">
      <c r="A59" s="97" t="s">
        <v>169</v>
      </c>
    </row>
    <row r="60" spans="1:24">
      <c r="A60" s="97" t="s">
        <v>213</v>
      </c>
    </row>
    <row r="61" spans="1:24">
      <c r="A61" s="97" t="s">
        <v>217</v>
      </c>
    </row>
    <row r="62" spans="1:24">
      <c r="A62" s="91" t="s">
        <v>273</v>
      </c>
    </row>
  </sheetData>
  <sheetProtection password="C460" sheet="1" sort="0"/>
  <phoneticPr fontId="1" type="noConversion"/>
  <printOptions gridLines="1"/>
  <pageMargins left="0.75" right="0.75" top="1" bottom="1" header="0.5" footer="0.5"/>
  <pageSetup scale="27" orientation="portrait" r:id="rId1"/>
  <headerFooter alignWithMargins="0">
    <oddHeader>&amp;L&amp;"Arial,Bold"&amp;12Comparison; Human Health 97WQS vs 99WQS</oddHeader>
    <oddFooter>&amp;L&amp;"Arial"&amp;8FINAL 8/10/99; TABLE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B7D8-6576-46A2-BC66-16F6514097E0}">
  <dimension ref="A1:B16"/>
  <sheetViews>
    <sheetView workbookViewId="0"/>
  </sheetViews>
  <sheetFormatPr defaultRowHeight="15"/>
  <sheetData>
    <row r="1" spans="1:2">
      <c r="A1" s="40" t="s">
        <v>232</v>
      </c>
    </row>
    <row r="3" spans="1:2">
      <c r="A3" s="40" t="s">
        <v>253</v>
      </c>
    </row>
    <row r="4" spans="1:2">
      <c r="A4" s="19"/>
      <c r="B4" t="s">
        <v>204</v>
      </c>
    </row>
    <row r="5" spans="1:2">
      <c r="A5" s="19" t="s">
        <v>199</v>
      </c>
    </row>
    <row r="6" spans="1:2">
      <c r="B6" s="19" t="s">
        <v>198</v>
      </c>
    </row>
    <row r="7" spans="1:2">
      <c r="B7" s="19" t="s">
        <v>200</v>
      </c>
    </row>
    <row r="8" spans="1:2">
      <c r="B8" s="19" t="s">
        <v>201</v>
      </c>
    </row>
    <row r="9" spans="1:2">
      <c r="A9" s="40" t="s">
        <v>227</v>
      </c>
    </row>
    <row r="10" spans="1:2">
      <c r="B10" s="103" t="s">
        <v>202</v>
      </c>
    </row>
    <row r="11" spans="1:2">
      <c r="B11" t="s">
        <v>203</v>
      </c>
    </row>
    <row r="12" spans="1:2">
      <c r="B12" s="19" t="s">
        <v>207</v>
      </c>
    </row>
    <row r="13" spans="1:2">
      <c r="B13" s="19" t="s">
        <v>208</v>
      </c>
    </row>
    <row r="14" spans="1:2">
      <c r="A14" t="s">
        <v>210</v>
      </c>
    </row>
    <row r="15" spans="1:2">
      <c r="B15" t="s">
        <v>211</v>
      </c>
    </row>
    <row r="16" spans="1:2">
      <c r="B16" t="s">
        <v>212</v>
      </c>
    </row>
  </sheetData>
  <sheetProtection password="C460" sheet="1"/>
  <hyperlinks>
    <hyperlink ref="B10" r:id="rId1" xr:uid="{7E66CD84-9868-4DE8-B218-636C85584D4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4B93-F705-497F-A0FB-778F0096DAB1}">
  <dimension ref="A1:L5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23.44140625" customWidth="1"/>
    <col min="3" max="3" width="11" style="40" customWidth="1"/>
    <col min="4" max="8" width="8.88671875" style="40"/>
    <col min="9" max="9" width="8.88671875" style="203"/>
    <col min="11" max="11" width="17.5546875" customWidth="1"/>
    <col min="12" max="12" width="6.109375" customWidth="1"/>
  </cols>
  <sheetData>
    <row r="1" spans="1:12" s="110" customFormat="1" ht="13.5" thickBot="1">
      <c r="A1" s="111" t="s">
        <v>235</v>
      </c>
      <c r="B1" s="111" t="s">
        <v>236</v>
      </c>
      <c r="C1" s="111" t="s">
        <v>237</v>
      </c>
      <c r="D1" s="111" t="s">
        <v>246</v>
      </c>
      <c r="E1" s="111" t="s">
        <v>238</v>
      </c>
      <c r="F1" s="111" t="s">
        <v>247</v>
      </c>
      <c r="G1" s="111" t="s">
        <v>239</v>
      </c>
      <c r="H1" s="111" t="s">
        <v>248</v>
      </c>
      <c r="I1" s="168" t="s">
        <v>240</v>
      </c>
      <c r="K1" s="110" t="s">
        <v>249</v>
      </c>
      <c r="L1" s="110">
        <v>6.048</v>
      </c>
    </row>
    <row r="2" spans="1:12" ht="15.75" thickTop="1">
      <c r="A2" s="46" t="s">
        <v>113</v>
      </c>
      <c r="B2" s="46" t="s">
        <v>114</v>
      </c>
      <c r="C2" s="113">
        <v>6.9</v>
      </c>
      <c r="D2" s="115">
        <f t="shared" ref="D2:D52" si="0">C2*0.06048</f>
        <v>0.41731200000000002</v>
      </c>
      <c r="E2" s="113">
        <v>9</v>
      </c>
      <c r="F2" s="115">
        <f>E2*0.64754</f>
        <v>5.8278600000000003</v>
      </c>
      <c r="G2" s="113">
        <v>2</v>
      </c>
      <c r="H2" s="115">
        <f>G2*0.29198</f>
        <v>0.58396000000000003</v>
      </c>
      <c r="I2" s="169">
        <f>D2+F2+H2</f>
        <v>6.8291320000000004</v>
      </c>
      <c r="K2" s="110" t="s">
        <v>250</v>
      </c>
      <c r="L2" s="110">
        <v>64.754000000000005</v>
      </c>
    </row>
    <row r="3" spans="1:12" ht="15.75" thickBot="1">
      <c r="A3" s="62" t="s">
        <v>241</v>
      </c>
      <c r="B3" s="69" t="s">
        <v>139</v>
      </c>
      <c r="C3" s="114">
        <v>5.7</v>
      </c>
      <c r="D3" s="116">
        <f t="shared" si="0"/>
        <v>0.34473599999999999</v>
      </c>
      <c r="E3" s="114">
        <v>7.4</v>
      </c>
      <c r="F3" s="114">
        <f>E3*0.64754</f>
        <v>4.7917960000000006</v>
      </c>
      <c r="G3" s="114">
        <v>8.4</v>
      </c>
      <c r="H3" s="114">
        <f>G3*0.29198</f>
        <v>2.4526320000000004</v>
      </c>
      <c r="I3" s="170">
        <f>D3+F3+H3</f>
        <v>7.5891640000000011</v>
      </c>
      <c r="K3" s="110" t="s">
        <v>251</v>
      </c>
      <c r="L3" s="118">
        <v>29.198</v>
      </c>
    </row>
    <row r="4" spans="1:12" ht="15.75" thickTop="1">
      <c r="A4" s="69" t="s">
        <v>144</v>
      </c>
      <c r="B4" s="69" t="s">
        <v>145</v>
      </c>
      <c r="C4" s="114">
        <v>6</v>
      </c>
      <c r="D4" s="116">
        <f t="shared" si="0"/>
        <v>0.36287999999999998</v>
      </c>
      <c r="E4" s="114">
        <v>7.8</v>
      </c>
      <c r="F4" s="114">
        <f t="shared" ref="F4:F52" si="1">E4*0.64754</f>
        <v>5.0508119999999996</v>
      </c>
      <c r="G4" s="114">
        <v>8.9</v>
      </c>
      <c r="H4" s="114">
        <f t="shared" ref="H4:H52" si="2">G4*0.29198</f>
        <v>2.5986220000000002</v>
      </c>
      <c r="I4" s="170">
        <f t="shared" ref="I4:I52" si="3">D4+F4+H4</f>
        <v>8.0123139999999999</v>
      </c>
      <c r="K4" s="119" t="s">
        <v>252</v>
      </c>
      <c r="L4" s="110">
        <f>SUM(L1:L3)</f>
        <v>100</v>
      </c>
    </row>
    <row r="5" spans="1:12">
      <c r="A5" s="46" t="s">
        <v>44</v>
      </c>
      <c r="B5" s="46" t="s">
        <v>45</v>
      </c>
      <c r="C5" s="114">
        <v>2</v>
      </c>
      <c r="D5" s="116">
        <f t="shared" si="0"/>
        <v>0.12096</v>
      </c>
      <c r="E5" s="114">
        <v>2.4</v>
      </c>
      <c r="F5" s="114">
        <f t="shared" si="1"/>
        <v>1.5540959999999999</v>
      </c>
      <c r="G5" s="114">
        <v>2.6</v>
      </c>
      <c r="H5" s="114">
        <f t="shared" si="2"/>
        <v>0.75914800000000004</v>
      </c>
      <c r="I5" s="170">
        <f t="shared" si="3"/>
        <v>2.4342039999999998</v>
      </c>
    </row>
    <row r="6" spans="1:12">
      <c r="A6" s="46" t="s">
        <v>109</v>
      </c>
      <c r="B6" s="46" t="s">
        <v>110</v>
      </c>
      <c r="C6" s="114">
        <v>17000</v>
      </c>
      <c r="D6" s="114">
        <f t="shared" si="0"/>
        <v>1028.1600000000001</v>
      </c>
      <c r="E6" s="114">
        <v>2900</v>
      </c>
      <c r="F6" s="114">
        <f t="shared" si="1"/>
        <v>1877.866</v>
      </c>
      <c r="G6" s="114">
        <v>1500</v>
      </c>
      <c r="H6" s="114">
        <f t="shared" si="2"/>
        <v>437.97</v>
      </c>
      <c r="I6" s="170">
        <f t="shared" si="3"/>
        <v>3343.9960000000001</v>
      </c>
    </row>
    <row r="7" spans="1:12">
      <c r="A7" s="112" t="s">
        <v>123</v>
      </c>
      <c r="B7" s="46" t="s">
        <v>124</v>
      </c>
      <c r="C7" s="114">
        <v>52</v>
      </c>
      <c r="D7" s="117">
        <f t="shared" si="0"/>
        <v>3.1449599999999998</v>
      </c>
      <c r="E7" s="114">
        <v>71</v>
      </c>
      <c r="F7" s="114">
        <f t="shared" si="1"/>
        <v>45.975340000000003</v>
      </c>
      <c r="G7" s="114">
        <v>82</v>
      </c>
      <c r="H7" s="114">
        <f t="shared" si="2"/>
        <v>23.942360000000001</v>
      </c>
      <c r="I7" s="170">
        <f t="shared" si="3"/>
        <v>73.062659999999994</v>
      </c>
    </row>
    <row r="8" spans="1:12">
      <c r="A8" s="69" t="s">
        <v>42</v>
      </c>
      <c r="B8" s="69" t="s">
        <v>43</v>
      </c>
      <c r="C8" s="114">
        <v>1.6</v>
      </c>
      <c r="D8" s="117">
        <f t="shared" si="0"/>
        <v>9.6768000000000007E-2</v>
      </c>
      <c r="E8" s="114">
        <v>1.8</v>
      </c>
      <c r="F8" s="114">
        <f t="shared" si="1"/>
        <v>1.1655720000000001</v>
      </c>
      <c r="G8" s="114">
        <v>1.9</v>
      </c>
      <c r="H8" s="114">
        <f t="shared" si="2"/>
        <v>0.55476199999999998</v>
      </c>
      <c r="I8" s="170">
        <f t="shared" si="3"/>
        <v>1.817102</v>
      </c>
    </row>
    <row r="9" spans="1:12">
      <c r="A9" s="69" t="s">
        <v>128</v>
      </c>
      <c r="B9" s="69" t="s">
        <v>129</v>
      </c>
      <c r="C9" s="114">
        <v>2.9</v>
      </c>
      <c r="D9" s="114">
        <f t="shared" si="0"/>
        <v>0.17539199999999999</v>
      </c>
      <c r="E9" s="114">
        <v>3.5</v>
      </c>
      <c r="F9" s="114">
        <f t="shared" si="1"/>
        <v>2.2663899999999999</v>
      </c>
      <c r="G9" s="114">
        <v>3.9</v>
      </c>
      <c r="H9" s="114">
        <f t="shared" si="2"/>
        <v>1.138722</v>
      </c>
      <c r="I9" s="170">
        <f t="shared" si="3"/>
        <v>3.5805039999999999</v>
      </c>
    </row>
    <row r="10" spans="1:12">
      <c r="A10" s="69" t="s">
        <v>264</v>
      </c>
      <c r="B10" s="69" t="s">
        <v>122</v>
      </c>
      <c r="C10" s="114">
        <v>31</v>
      </c>
      <c r="D10" s="114">
        <f t="shared" si="0"/>
        <v>1.8748799999999999</v>
      </c>
      <c r="E10" s="114">
        <v>120</v>
      </c>
      <c r="F10" s="114">
        <f t="shared" si="1"/>
        <v>77.704800000000006</v>
      </c>
      <c r="G10" s="114">
        <v>190</v>
      </c>
      <c r="H10" s="114">
        <f t="shared" si="2"/>
        <v>55.476200000000006</v>
      </c>
      <c r="I10" s="170">
        <f t="shared" si="3"/>
        <v>135.05588</v>
      </c>
    </row>
    <row r="11" spans="1:12">
      <c r="A11" s="69" t="s">
        <v>265</v>
      </c>
      <c r="B11" s="69" t="s">
        <v>91</v>
      </c>
      <c r="C11" s="114">
        <v>28</v>
      </c>
      <c r="D11" s="114">
        <f t="shared" si="0"/>
        <v>1.6934400000000001</v>
      </c>
      <c r="E11" s="114">
        <v>66</v>
      </c>
      <c r="F11" s="114">
        <f t="shared" si="1"/>
        <v>42.737639999999999</v>
      </c>
      <c r="G11" s="114">
        <v>84</v>
      </c>
      <c r="H11" s="114">
        <f t="shared" si="2"/>
        <v>24.526320000000002</v>
      </c>
      <c r="I11" s="170">
        <f t="shared" si="3"/>
        <v>68.957400000000007</v>
      </c>
    </row>
    <row r="12" spans="1:12">
      <c r="A12" s="69" t="s">
        <v>242</v>
      </c>
      <c r="B12" s="69" t="s">
        <v>46</v>
      </c>
      <c r="C12" s="114">
        <v>2.2999999999999998</v>
      </c>
      <c r="D12" s="114">
        <f t="shared" si="0"/>
        <v>0.13910399999999998</v>
      </c>
      <c r="E12" s="114">
        <v>2.7</v>
      </c>
      <c r="F12" s="114">
        <f t="shared" si="1"/>
        <v>1.7483580000000001</v>
      </c>
      <c r="G12" s="114">
        <v>3</v>
      </c>
      <c r="H12" s="114">
        <f t="shared" si="2"/>
        <v>0.87594000000000005</v>
      </c>
      <c r="I12" s="170">
        <f t="shared" si="3"/>
        <v>2.7634020000000001</v>
      </c>
    </row>
    <row r="13" spans="1:12">
      <c r="A13" s="46" t="s">
        <v>0</v>
      </c>
      <c r="B13" s="46" t="s">
        <v>115</v>
      </c>
      <c r="C13" s="114">
        <v>100</v>
      </c>
      <c r="D13" s="114">
        <f t="shared" si="0"/>
        <v>6.048</v>
      </c>
      <c r="E13" s="114">
        <v>140</v>
      </c>
      <c r="F13" s="114">
        <f t="shared" si="1"/>
        <v>90.655600000000007</v>
      </c>
      <c r="G13" s="114">
        <v>160</v>
      </c>
      <c r="H13" s="114">
        <f t="shared" si="2"/>
        <v>46.716800000000006</v>
      </c>
      <c r="I13" s="170">
        <f t="shared" si="3"/>
        <v>143.42040000000003</v>
      </c>
    </row>
    <row r="14" spans="1:12">
      <c r="A14" s="46" t="s">
        <v>132</v>
      </c>
      <c r="B14" s="46" t="s">
        <v>133</v>
      </c>
      <c r="C14" s="114">
        <v>4.8</v>
      </c>
      <c r="D14" s="114">
        <f t="shared" si="0"/>
        <v>0.29030400000000001</v>
      </c>
      <c r="E14" s="114">
        <v>6.2</v>
      </c>
      <c r="F14" s="114">
        <f t="shared" si="1"/>
        <v>4.014748</v>
      </c>
      <c r="G14" s="114">
        <v>7</v>
      </c>
      <c r="H14" s="114">
        <f t="shared" si="2"/>
        <v>2.04386</v>
      </c>
      <c r="I14" s="170">
        <f t="shared" si="3"/>
        <v>6.3489120000000003</v>
      </c>
    </row>
    <row r="15" spans="1:12">
      <c r="A15" s="69" t="s">
        <v>125</v>
      </c>
      <c r="B15" s="69" t="s">
        <v>126</v>
      </c>
      <c r="C15" s="114">
        <v>44</v>
      </c>
      <c r="D15" s="114">
        <f t="shared" si="0"/>
        <v>2.6611199999999999</v>
      </c>
      <c r="E15" s="114">
        <v>60</v>
      </c>
      <c r="F15" s="114">
        <f t="shared" si="1"/>
        <v>38.852400000000003</v>
      </c>
      <c r="G15" s="114">
        <v>69</v>
      </c>
      <c r="H15" s="114">
        <f t="shared" si="2"/>
        <v>20.146620000000002</v>
      </c>
      <c r="I15" s="170">
        <f t="shared" si="3"/>
        <v>61.660139999999998</v>
      </c>
    </row>
    <row r="16" spans="1:12">
      <c r="A16" s="62" t="s">
        <v>14</v>
      </c>
      <c r="B16" s="62" t="s">
        <v>9</v>
      </c>
      <c r="C16" s="114">
        <v>1</v>
      </c>
      <c r="D16" s="114">
        <f t="shared" si="0"/>
        <v>6.0479999999999999E-2</v>
      </c>
      <c r="E16" s="114">
        <v>1</v>
      </c>
      <c r="F16" s="114">
        <f t="shared" si="1"/>
        <v>0.64754</v>
      </c>
      <c r="G16" s="114">
        <v>1</v>
      </c>
      <c r="H16" s="114">
        <f t="shared" si="2"/>
        <v>0.29198000000000002</v>
      </c>
      <c r="I16" s="170">
        <f t="shared" si="3"/>
        <v>1</v>
      </c>
    </row>
    <row r="17" spans="1:9">
      <c r="A17" s="69" t="s">
        <v>17</v>
      </c>
      <c r="B17" s="69" t="s">
        <v>10</v>
      </c>
      <c r="C17" s="114">
        <v>18000</v>
      </c>
      <c r="D17" s="114">
        <f t="shared" si="0"/>
        <v>1088.6399999999999</v>
      </c>
      <c r="E17" s="114">
        <v>310000</v>
      </c>
      <c r="F17" s="114">
        <f t="shared" si="1"/>
        <v>200737.4</v>
      </c>
      <c r="G17" s="114">
        <v>650000</v>
      </c>
      <c r="H17" s="114">
        <f t="shared" si="2"/>
        <v>189787</v>
      </c>
      <c r="I17" s="170">
        <f t="shared" si="3"/>
        <v>391613.04000000004</v>
      </c>
    </row>
    <row r="18" spans="1:9">
      <c r="A18" s="76" t="s">
        <v>69</v>
      </c>
      <c r="B18" s="69" t="s">
        <v>58</v>
      </c>
      <c r="C18" s="114">
        <v>1700</v>
      </c>
      <c r="D18" s="114">
        <f t="shared" si="0"/>
        <v>102.816</v>
      </c>
      <c r="E18" s="114">
        <v>1400</v>
      </c>
      <c r="F18" s="114">
        <f t="shared" si="1"/>
        <v>906.55600000000004</v>
      </c>
      <c r="G18" s="114">
        <v>1500</v>
      </c>
      <c r="H18" s="114">
        <f t="shared" si="2"/>
        <v>437.97</v>
      </c>
      <c r="I18" s="170">
        <f t="shared" si="3"/>
        <v>1447.3420000000001</v>
      </c>
    </row>
    <row r="19" spans="1:9">
      <c r="A19" s="69" t="s">
        <v>18</v>
      </c>
      <c r="B19" s="69" t="s">
        <v>12</v>
      </c>
      <c r="C19" s="114">
        <v>3.6</v>
      </c>
      <c r="D19" s="114">
        <f t="shared" si="0"/>
        <v>0.217728</v>
      </c>
      <c r="E19" s="114">
        <v>4.5</v>
      </c>
      <c r="F19" s="114">
        <f t="shared" si="1"/>
        <v>2.9139300000000001</v>
      </c>
      <c r="G19" s="114">
        <v>5</v>
      </c>
      <c r="H19" s="114">
        <f t="shared" si="2"/>
        <v>1.4599000000000002</v>
      </c>
      <c r="I19" s="170">
        <f t="shared" si="3"/>
        <v>4.5915580000000009</v>
      </c>
    </row>
    <row r="20" spans="1:9">
      <c r="A20" s="69" t="s">
        <v>19</v>
      </c>
      <c r="B20" s="69" t="s">
        <v>13</v>
      </c>
      <c r="C20" s="114">
        <v>1.4</v>
      </c>
      <c r="D20" s="114">
        <f t="shared" si="0"/>
        <v>8.4671999999999997E-2</v>
      </c>
      <c r="E20" s="114">
        <v>1.6</v>
      </c>
      <c r="F20" s="114">
        <f t="shared" si="1"/>
        <v>1.0360640000000001</v>
      </c>
      <c r="G20" s="114">
        <v>1.7</v>
      </c>
      <c r="H20" s="114">
        <f t="shared" si="2"/>
        <v>0.49636600000000003</v>
      </c>
      <c r="I20" s="170">
        <f t="shared" si="3"/>
        <v>1.6171020000000003</v>
      </c>
    </row>
    <row r="21" spans="1:9">
      <c r="A21" s="76" t="s">
        <v>70</v>
      </c>
      <c r="B21" s="69" t="s">
        <v>59</v>
      </c>
      <c r="C21" s="114">
        <v>110</v>
      </c>
      <c r="D21" s="114">
        <f t="shared" si="0"/>
        <v>6.6528</v>
      </c>
      <c r="E21" s="114">
        <v>160</v>
      </c>
      <c r="F21" s="114">
        <f t="shared" si="1"/>
        <v>103.60640000000001</v>
      </c>
      <c r="G21" s="114">
        <v>180</v>
      </c>
      <c r="H21" s="114">
        <f t="shared" si="2"/>
        <v>52.556400000000004</v>
      </c>
      <c r="I21" s="170">
        <f t="shared" si="3"/>
        <v>162.81560000000002</v>
      </c>
    </row>
    <row r="22" spans="1:9">
      <c r="A22" s="69" t="s">
        <v>146</v>
      </c>
      <c r="B22" s="69" t="s">
        <v>119</v>
      </c>
      <c r="C22" s="114">
        <v>1.4</v>
      </c>
      <c r="D22" s="114">
        <f t="shared" si="0"/>
        <v>8.4671999999999997E-2</v>
      </c>
      <c r="E22" s="114">
        <v>1.6</v>
      </c>
      <c r="F22" s="114">
        <f t="shared" si="1"/>
        <v>1.0360640000000001</v>
      </c>
      <c r="G22" s="114">
        <v>1.7</v>
      </c>
      <c r="H22" s="114">
        <f t="shared" si="2"/>
        <v>0.49636600000000003</v>
      </c>
      <c r="I22" s="170">
        <f t="shared" si="3"/>
        <v>1.6171020000000003</v>
      </c>
    </row>
    <row r="23" spans="1:9">
      <c r="A23" s="69" t="s">
        <v>28</v>
      </c>
      <c r="B23" s="69" t="s">
        <v>29</v>
      </c>
      <c r="C23" s="114">
        <v>5.8</v>
      </c>
      <c r="D23" s="114">
        <f t="shared" si="0"/>
        <v>0.35078399999999998</v>
      </c>
      <c r="E23" s="114">
        <v>7.5</v>
      </c>
      <c r="F23" s="114">
        <f t="shared" si="1"/>
        <v>4.8565500000000004</v>
      </c>
      <c r="G23" s="114">
        <v>8.5</v>
      </c>
      <c r="H23" s="114">
        <f t="shared" si="2"/>
        <v>2.48183</v>
      </c>
      <c r="I23" s="170">
        <f t="shared" si="3"/>
        <v>7.6891639999999999</v>
      </c>
    </row>
    <row r="24" spans="1:9">
      <c r="A24" s="69" t="s">
        <v>25</v>
      </c>
      <c r="B24" s="69" t="s">
        <v>31</v>
      </c>
      <c r="C24" s="114">
        <v>9.3000000000000007</v>
      </c>
      <c r="D24" s="114">
        <f t="shared" si="0"/>
        <v>0.56246400000000008</v>
      </c>
      <c r="E24" s="114">
        <v>12</v>
      </c>
      <c r="F24" s="114">
        <f t="shared" si="1"/>
        <v>7.7704800000000001</v>
      </c>
      <c r="G24" s="114">
        <v>14</v>
      </c>
      <c r="H24" s="114">
        <f t="shared" si="2"/>
        <v>4.08772</v>
      </c>
      <c r="I24" s="170">
        <f t="shared" si="3"/>
        <v>12.420663999999999</v>
      </c>
    </row>
    <row r="25" spans="1:9">
      <c r="A25" s="69" t="s">
        <v>243</v>
      </c>
      <c r="B25" s="69" t="s">
        <v>73</v>
      </c>
      <c r="C25" s="114">
        <v>5300</v>
      </c>
      <c r="D25" s="114">
        <f t="shared" si="0"/>
        <v>320.54399999999998</v>
      </c>
      <c r="E25" s="114">
        <v>44000</v>
      </c>
      <c r="F25" s="114">
        <f t="shared" si="1"/>
        <v>28491.759999999998</v>
      </c>
      <c r="G25" s="114">
        <v>60000</v>
      </c>
      <c r="H25" s="114">
        <f t="shared" si="2"/>
        <v>17518.8</v>
      </c>
      <c r="I25" s="170">
        <f t="shared" si="3"/>
        <v>46331.103999999999</v>
      </c>
    </row>
    <row r="26" spans="1:9">
      <c r="A26" s="46" t="s">
        <v>82</v>
      </c>
      <c r="B26" s="46" t="s">
        <v>83</v>
      </c>
      <c r="C26" s="114">
        <v>14</v>
      </c>
      <c r="D26" s="114">
        <f t="shared" si="0"/>
        <v>0.84672000000000003</v>
      </c>
      <c r="E26" s="114">
        <v>19</v>
      </c>
      <c r="F26" s="114">
        <f t="shared" si="1"/>
        <v>12.30326</v>
      </c>
      <c r="G26" s="114">
        <v>22</v>
      </c>
      <c r="H26" s="114">
        <f t="shared" si="2"/>
        <v>6.4235600000000002</v>
      </c>
      <c r="I26" s="170">
        <f t="shared" si="3"/>
        <v>19.573540000000001</v>
      </c>
    </row>
    <row r="27" spans="1:9">
      <c r="A27" s="69" t="s">
        <v>7</v>
      </c>
      <c r="B27" s="69" t="s">
        <v>40</v>
      </c>
      <c r="C27" s="114">
        <v>3.7</v>
      </c>
      <c r="D27" s="114">
        <f t="shared" si="0"/>
        <v>0.223776</v>
      </c>
      <c r="E27" s="114">
        <v>4.8</v>
      </c>
      <c r="F27" s="114">
        <f t="shared" si="1"/>
        <v>3.1081919999999998</v>
      </c>
      <c r="G27" s="114">
        <v>5.3</v>
      </c>
      <c r="H27" s="114">
        <f t="shared" si="2"/>
        <v>1.5474940000000001</v>
      </c>
      <c r="I27" s="170">
        <f t="shared" si="3"/>
        <v>4.8794620000000002</v>
      </c>
    </row>
    <row r="28" spans="1:9">
      <c r="A28" s="69" t="s">
        <v>127</v>
      </c>
      <c r="B28" s="69" t="s">
        <v>149</v>
      </c>
      <c r="C28" s="114">
        <v>1.4</v>
      </c>
      <c r="D28" s="114">
        <f t="shared" si="0"/>
        <v>8.4671999999999997E-2</v>
      </c>
      <c r="E28" s="114">
        <v>1.5</v>
      </c>
      <c r="F28" s="114">
        <f t="shared" si="1"/>
        <v>0.97131000000000001</v>
      </c>
      <c r="G28" s="114">
        <v>1.6</v>
      </c>
      <c r="H28" s="114">
        <f t="shared" si="2"/>
        <v>0.46716800000000003</v>
      </c>
      <c r="I28" s="170">
        <f t="shared" si="3"/>
        <v>1.52315</v>
      </c>
    </row>
    <row r="29" spans="1:9">
      <c r="A29" s="46" t="s">
        <v>32</v>
      </c>
      <c r="B29" s="46" t="s">
        <v>33</v>
      </c>
      <c r="C29" s="114">
        <v>2.8</v>
      </c>
      <c r="D29" s="114">
        <f t="shared" si="0"/>
        <v>0.16934399999999999</v>
      </c>
      <c r="E29" s="114">
        <v>3.4</v>
      </c>
      <c r="F29" s="114">
        <f t="shared" si="1"/>
        <v>2.2016360000000001</v>
      </c>
      <c r="G29" s="114">
        <v>3.8</v>
      </c>
      <c r="H29" s="114">
        <f t="shared" si="2"/>
        <v>1.109524</v>
      </c>
      <c r="I29" s="170">
        <f t="shared" si="3"/>
        <v>3.4805040000000003</v>
      </c>
    </row>
    <row r="30" spans="1:9">
      <c r="A30" s="69" t="s">
        <v>26</v>
      </c>
      <c r="B30" s="69" t="s">
        <v>27</v>
      </c>
      <c r="C30" s="114">
        <v>3.4</v>
      </c>
      <c r="D30" s="114">
        <f t="shared" si="0"/>
        <v>0.20563199999999998</v>
      </c>
      <c r="E30" s="114">
        <v>4.3</v>
      </c>
      <c r="F30" s="114">
        <f t="shared" si="1"/>
        <v>2.7844219999999997</v>
      </c>
      <c r="G30" s="114">
        <v>4.8</v>
      </c>
      <c r="H30" s="114">
        <f t="shared" si="2"/>
        <v>1.4015040000000001</v>
      </c>
      <c r="I30" s="170">
        <f t="shared" si="3"/>
        <v>4.3915579999999999</v>
      </c>
    </row>
    <row r="31" spans="1:9">
      <c r="A31" s="69" t="s">
        <v>47</v>
      </c>
      <c r="B31" s="69" t="s">
        <v>49</v>
      </c>
      <c r="C31" s="114">
        <v>14000</v>
      </c>
      <c r="D31" s="114">
        <f t="shared" si="0"/>
        <v>846.72</v>
      </c>
      <c r="E31" s="114">
        <v>210000</v>
      </c>
      <c r="F31" s="114">
        <f t="shared" si="1"/>
        <v>135983.4</v>
      </c>
      <c r="G31" s="114">
        <v>410000</v>
      </c>
      <c r="H31" s="114">
        <f t="shared" si="2"/>
        <v>119711.8</v>
      </c>
      <c r="I31" s="170">
        <f t="shared" si="3"/>
        <v>256541.91999999998</v>
      </c>
    </row>
    <row r="32" spans="1:9">
      <c r="A32" s="46" t="s">
        <v>92</v>
      </c>
      <c r="B32" s="46" t="s">
        <v>93</v>
      </c>
      <c r="C32" s="114">
        <v>4600</v>
      </c>
      <c r="D32" s="114">
        <f t="shared" si="0"/>
        <v>278.20799999999997</v>
      </c>
      <c r="E32" s="114">
        <v>36000</v>
      </c>
      <c r="F32" s="114">
        <f t="shared" si="1"/>
        <v>23311.439999999999</v>
      </c>
      <c r="G32" s="114">
        <v>46000</v>
      </c>
      <c r="H32" s="114">
        <f t="shared" si="2"/>
        <v>13431.08</v>
      </c>
      <c r="I32" s="170">
        <f t="shared" si="3"/>
        <v>37020.727999999996</v>
      </c>
    </row>
    <row r="33" spans="1:9">
      <c r="A33" s="46" t="s">
        <v>134</v>
      </c>
      <c r="B33" s="46" t="s">
        <v>135</v>
      </c>
      <c r="C33" s="114">
        <v>100</v>
      </c>
      <c r="D33" s="114">
        <f t="shared" si="0"/>
        <v>6.048</v>
      </c>
      <c r="E33" s="114">
        <v>140</v>
      </c>
      <c r="F33" s="114">
        <f t="shared" si="1"/>
        <v>90.655600000000007</v>
      </c>
      <c r="G33" s="114">
        <v>160</v>
      </c>
      <c r="H33" s="114">
        <f t="shared" si="2"/>
        <v>46.716800000000006</v>
      </c>
      <c r="I33" s="170">
        <f t="shared" si="3"/>
        <v>143.42040000000003</v>
      </c>
    </row>
    <row r="34" spans="1:9">
      <c r="A34" s="112" t="s">
        <v>71</v>
      </c>
      <c r="B34" s="1" t="s">
        <v>160</v>
      </c>
      <c r="C34" s="114">
        <v>1200</v>
      </c>
      <c r="D34" s="114">
        <f t="shared" si="0"/>
        <v>72.575999999999993</v>
      </c>
      <c r="E34" s="114">
        <v>2400</v>
      </c>
      <c r="F34" s="114">
        <f t="shared" si="1"/>
        <v>1554.096</v>
      </c>
      <c r="G34" s="114">
        <v>2500</v>
      </c>
      <c r="H34" s="114">
        <f t="shared" si="2"/>
        <v>729.95</v>
      </c>
      <c r="I34" s="170">
        <f t="shared" si="3"/>
        <v>2356.6220000000003</v>
      </c>
    </row>
    <row r="35" spans="1:9">
      <c r="A35" s="69" t="s">
        <v>50</v>
      </c>
      <c r="B35" s="69" t="s">
        <v>51</v>
      </c>
      <c r="C35" s="114">
        <v>12000</v>
      </c>
      <c r="D35" s="114">
        <f t="shared" si="0"/>
        <v>725.76</v>
      </c>
      <c r="E35" s="114">
        <v>180000</v>
      </c>
      <c r="F35" s="114">
        <f t="shared" si="1"/>
        <v>116557.2</v>
      </c>
      <c r="G35" s="114">
        <v>330000</v>
      </c>
      <c r="H35" s="114">
        <f t="shared" si="2"/>
        <v>96353.400000000009</v>
      </c>
      <c r="I35" s="170">
        <f t="shared" si="3"/>
        <v>213636.36</v>
      </c>
    </row>
    <row r="36" spans="1:9">
      <c r="A36" s="69" t="s">
        <v>52</v>
      </c>
      <c r="B36" s="69" t="s">
        <v>53</v>
      </c>
      <c r="C36" s="114">
        <v>4000</v>
      </c>
      <c r="D36" s="114">
        <f t="shared" si="0"/>
        <v>241.92</v>
      </c>
      <c r="E36" s="114">
        <v>28000</v>
      </c>
      <c r="F36" s="114">
        <f t="shared" si="1"/>
        <v>18131.12</v>
      </c>
      <c r="G36" s="114">
        <v>35000</v>
      </c>
      <c r="H36" s="114">
        <f t="shared" si="2"/>
        <v>10219.300000000001</v>
      </c>
      <c r="I36" s="170">
        <f t="shared" si="3"/>
        <v>28592.339999999997</v>
      </c>
    </row>
    <row r="37" spans="1:9">
      <c r="A37" s="69" t="s">
        <v>54</v>
      </c>
      <c r="B37" s="69" t="s">
        <v>55</v>
      </c>
      <c r="C37" s="114">
        <v>18000</v>
      </c>
      <c r="D37" s="114">
        <f t="shared" si="0"/>
        <v>1088.6399999999999</v>
      </c>
      <c r="E37" s="114">
        <v>46000</v>
      </c>
      <c r="F37" s="114">
        <f t="shared" si="1"/>
        <v>29786.84</v>
      </c>
      <c r="G37" s="114">
        <v>90000</v>
      </c>
      <c r="H37" s="114">
        <f t="shared" si="2"/>
        <v>26278.2</v>
      </c>
      <c r="I37" s="170">
        <f t="shared" si="3"/>
        <v>57153.68</v>
      </c>
    </row>
    <row r="38" spans="1:9">
      <c r="A38" s="69" t="s">
        <v>56</v>
      </c>
      <c r="B38" s="69" t="s">
        <v>57</v>
      </c>
      <c r="C38" s="114">
        <v>23000</v>
      </c>
      <c r="D38" s="114">
        <f t="shared" si="0"/>
        <v>1391.04</v>
      </c>
      <c r="E38" s="114">
        <v>2800</v>
      </c>
      <c r="F38" s="114">
        <f t="shared" si="1"/>
        <v>1813.1120000000001</v>
      </c>
      <c r="G38" s="114">
        <v>1100</v>
      </c>
      <c r="H38" s="114">
        <f t="shared" si="2"/>
        <v>321.178</v>
      </c>
      <c r="I38" s="170">
        <f t="shared" si="3"/>
        <v>3525.33</v>
      </c>
    </row>
    <row r="39" spans="1:9">
      <c r="A39" s="49" t="s">
        <v>136</v>
      </c>
      <c r="B39" s="43" t="s">
        <v>137</v>
      </c>
      <c r="C39" s="114">
        <v>620</v>
      </c>
      <c r="D39" s="114">
        <f t="shared" si="0"/>
        <v>37.497599999999998</v>
      </c>
      <c r="E39" s="114">
        <v>1500</v>
      </c>
      <c r="F39" s="114">
        <f t="shared" si="1"/>
        <v>971.31000000000006</v>
      </c>
      <c r="G39" s="114">
        <v>1300</v>
      </c>
      <c r="H39" s="114">
        <f t="shared" si="2"/>
        <v>379.57400000000001</v>
      </c>
      <c r="I39" s="170">
        <f t="shared" si="3"/>
        <v>1388.3816000000002</v>
      </c>
    </row>
    <row r="40" spans="1:9">
      <c r="A40" s="69" t="s">
        <v>62</v>
      </c>
      <c r="B40" s="69" t="s">
        <v>148</v>
      </c>
      <c r="C40" s="114">
        <v>1200</v>
      </c>
      <c r="D40" s="114">
        <f t="shared" si="0"/>
        <v>72.575999999999993</v>
      </c>
      <c r="E40" s="114">
        <v>280</v>
      </c>
      <c r="F40" s="114">
        <f t="shared" si="1"/>
        <v>181.31120000000001</v>
      </c>
      <c r="G40" s="114">
        <v>600</v>
      </c>
      <c r="H40" s="114">
        <f t="shared" si="2"/>
        <v>175.18800000000002</v>
      </c>
      <c r="I40" s="170">
        <f t="shared" si="3"/>
        <v>429.0752</v>
      </c>
    </row>
    <row r="41" spans="1:9">
      <c r="A41" s="46" t="s">
        <v>98</v>
      </c>
      <c r="B41" s="46" t="s">
        <v>99</v>
      </c>
      <c r="C41" s="114">
        <v>1400</v>
      </c>
      <c r="D41" s="114">
        <f t="shared" si="0"/>
        <v>84.671999999999997</v>
      </c>
      <c r="E41" s="114">
        <v>4800</v>
      </c>
      <c r="F41" s="114">
        <f t="shared" si="1"/>
        <v>3108.192</v>
      </c>
      <c r="G41" s="114">
        <v>4400</v>
      </c>
      <c r="H41" s="114">
        <f t="shared" si="2"/>
        <v>1284.712</v>
      </c>
      <c r="I41" s="170">
        <f t="shared" si="3"/>
        <v>4477.576</v>
      </c>
    </row>
    <row r="42" spans="1:9">
      <c r="A42" s="46" t="s">
        <v>102</v>
      </c>
      <c r="B42" s="46" t="s">
        <v>103</v>
      </c>
      <c r="C42" s="114">
        <v>2.2999999999999998</v>
      </c>
      <c r="D42" s="114">
        <f t="shared" si="0"/>
        <v>0.13910399999999998</v>
      </c>
      <c r="E42" s="114">
        <v>2.8</v>
      </c>
      <c r="F42" s="114">
        <f t="shared" si="1"/>
        <v>1.8131119999999998</v>
      </c>
      <c r="G42" s="114">
        <v>3.1</v>
      </c>
      <c r="H42" s="114">
        <f t="shared" si="2"/>
        <v>0.90513800000000011</v>
      </c>
      <c r="I42" s="170">
        <f t="shared" si="3"/>
        <v>2.8573539999999999</v>
      </c>
    </row>
    <row r="43" spans="1:9">
      <c r="A43" s="46" t="s">
        <v>104</v>
      </c>
      <c r="B43" s="46" t="s">
        <v>105</v>
      </c>
      <c r="C43" s="114">
        <v>3500</v>
      </c>
      <c r="D43" s="114">
        <f t="shared" si="0"/>
        <v>211.68</v>
      </c>
      <c r="E43" s="114">
        <v>4500</v>
      </c>
      <c r="F43" s="114">
        <f t="shared" si="1"/>
        <v>2913.93</v>
      </c>
      <c r="G43" s="114">
        <v>10000</v>
      </c>
      <c r="H43" s="114">
        <f t="shared" si="2"/>
        <v>2919.8</v>
      </c>
      <c r="I43" s="170">
        <f t="shared" si="3"/>
        <v>6045.41</v>
      </c>
    </row>
    <row r="44" spans="1:9">
      <c r="A44" s="62" t="s">
        <v>244</v>
      </c>
      <c r="B44" s="69" t="s">
        <v>76</v>
      </c>
      <c r="C44" s="114">
        <v>44</v>
      </c>
      <c r="D44" s="114">
        <f t="shared" si="0"/>
        <v>2.6611199999999999</v>
      </c>
      <c r="E44" s="114">
        <v>290</v>
      </c>
      <c r="F44" s="114">
        <f t="shared" si="1"/>
        <v>187.78659999999999</v>
      </c>
      <c r="G44" s="114">
        <v>520</v>
      </c>
      <c r="H44" s="114">
        <f t="shared" si="2"/>
        <v>151.8296</v>
      </c>
      <c r="I44" s="170">
        <f t="shared" si="3"/>
        <v>342.27732000000003</v>
      </c>
    </row>
    <row r="45" spans="1:9">
      <c r="A45" s="69" t="s">
        <v>35</v>
      </c>
      <c r="B45" s="69" t="s">
        <v>36</v>
      </c>
      <c r="C45" s="114">
        <v>33000</v>
      </c>
      <c r="D45" s="114">
        <f t="shared" si="0"/>
        <v>1995.84</v>
      </c>
      <c r="E45" s="114">
        <v>140000</v>
      </c>
      <c r="F45" s="114">
        <f t="shared" si="1"/>
        <v>90655.6</v>
      </c>
      <c r="G45" s="114">
        <v>240000</v>
      </c>
      <c r="H45" s="114">
        <f t="shared" si="2"/>
        <v>70075.199999999997</v>
      </c>
      <c r="I45" s="170">
        <f t="shared" si="3"/>
        <v>162726.64000000001</v>
      </c>
    </row>
    <row r="46" spans="1:9">
      <c r="A46" s="69" t="s">
        <v>37</v>
      </c>
      <c r="B46" s="69" t="s">
        <v>152</v>
      </c>
      <c r="C46" s="114">
        <v>270000</v>
      </c>
      <c r="D46" s="114">
        <f t="shared" si="0"/>
        <v>16329.6</v>
      </c>
      <c r="E46" s="114">
        <v>1100000</v>
      </c>
      <c r="F46" s="114">
        <f t="shared" si="1"/>
        <v>712294</v>
      </c>
      <c r="G46" s="114">
        <v>3100000</v>
      </c>
      <c r="H46" s="114">
        <f t="shared" si="2"/>
        <v>905138</v>
      </c>
      <c r="I46" s="170">
        <f t="shared" si="3"/>
        <v>1633761.6</v>
      </c>
    </row>
    <row r="47" spans="1:9">
      <c r="A47" s="69" t="s">
        <v>38</v>
      </c>
      <c r="B47" s="69" t="s">
        <v>39</v>
      </c>
      <c r="C47" s="114">
        <v>35000</v>
      </c>
      <c r="D47" s="114">
        <f t="shared" si="0"/>
        <v>2116.8000000000002</v>
      </c>
      <c r="E47" s="114">
        <v>240000</v>
      </c>
      <c r="F47" s="114">
        <f t="shared" si="1"/>
        <v>155409.60000000001</v>
      </c>
      <c r="G47" s="114">
        <v>1100000</v>
      </c>
      <c r="H47" s="114">
        <f t="shared" si="2"/>
        <v>321178</v>
      </c>
      <c r="I47" s="170">
        <f t="shared" si="3"/>
        <v>478704.4</v>
      </c>
    </row>
    <row r="48" spans="1:9">
      <c r="A48" s="69" t="s">
        <v>63</v>
      </c>
      <c r="B48" s="69" t="s">
        <v>77</v>
      </c>
      <c r="C48" s="114">
        <v>49</v>
      </c>
      <c r="D48" s="114">
        <f t="shared" si="0"/>
        <v>2.9635199999999999</v>
      </c>
      <c r="E48" s="114">
        <v>66</v>
      </c>
      <c r="F48" s="114">
        <f t="shared" si="1"/>
        <v>42.737639999999999</v>
      </c>
      <c r="G48" s="114">
        <v>76</v>
      </c>
      <c r="H48" s="114">
        <f t="shared" si="2"/>
        <v>22.190480000000001</v>
      </c>
      <c r="I48" s="170">
        <f t="shared" si="3"/>
        <v>67.891639999999995</v>
      </c>
    </row>
    <row r="49" spans="1:9">
      <c r="A49" s="46" t="s">
        <v>142</v>
      </c>
      <c r="B49" s="46" t="s">
        <v>143</v>
      </c>
      <c r="C49" s="114">
        <v>11</v>
      </c>
      <c r="D49" s="114">
        <f t="shared" si="0"/>
        <v>0.66527999999999998</v>
      </c>
      <c r="E49" s="114">
        <v>15</v>
      </c>
      <c r="F49" s="114">
        <f t="shared" si="1"/>
        <v>9.7131000000000007</v>
      </c>
      <c r="G49" s="114">
        <v>17</v>
      </c>
      <c r="H49" s="114">
        <f t="shared" si="2"/>
        <v>4.96366</v>
      </c>
      <c r="I49" s="170">
        <f t="shared" si="3"/>
        <v>15.342040000000001</v>
      </c>
    </row>
    <row r="50" spans="1:9">
      <c r="A50" s="69" t="s">
        <v>64</v>
      </c>
      <c r="B50" s="69" t="s">
        <v>78</v>
      </c>
      <c r="C50" s="114">
        <v>1700</v>
      </c>
      <c r="D50" s="114">
        <f t="shared" si="0"/>
        <v>102.816</v>
      </c>
      <c r="E50" s="114">
        <v>6600</v>
      </c>
      <c r="F50" s="114">
        <f t="shared" si="1"/>
        <v>4273.7640000000001</v>
      </c>
      <c r="G50" s="114">
        <v>6300</v>
      </c>
      <c r="H50" s="114">
        <f t="shared" si="2"/>
        <v>1839.4740000000002</v>
      </c>
      <c r="I50" s="170">
        <f t="shared" si="3"/>
        <v>6216.0540000000001</v>
      </c>
    </row>
    <row r="51" spans="1:9">
      <c r="A51" s="69" t="s">
        <v>65</v>
      </c>
      <c r="B51" s="69" t="s">
        <v>79</v>
      </c>
      <c r="C51" s="114">
        <v>8.6999999999999993</v>
      </c>
      <c r="D51" s="114">
        <f t="shared" si="0"/>
        <v>0.52617599999999998</v>
      </c>
      <c r="E51" s="114">
        <v>12</v>
      </c>
      <c r="F51" s="114">
        <f t="shared" si="1"/>
        <v>7.7704800000000001</v>
      </c>
      <c r="G51" s="114">
        <v>13</v>
      </c>
      <c r="H51" s="114">
        <f t="shared" si="2"/>
        <v>3.7957400000000003</v>
      </c>
      <c r="I51" s="170">
        <f t="shared" si="3"/>
        <v>12.092396000000001</v>
      </c>
    </row>
    <row r="52" spans="1:9">
      <c r="A52" s="69" t="s">
        <v>245</v>
      </c>
      <c r="B52" s="69" t="s">
        <v>80</v>
      </c>
      <c r="C52" s="114">
        <v>1.4</v>
      </c>
      <c r="D52" s="114">
        <f t="shared" si="0"/>
        <v>8.4671999999999997E-2</v>
      </c>
      <c r="E52" s="114">
        <v>1.6</v>
      </c>
      <c r="F52" s="114">
        <f t="shared" si="1"/>
        <v>1.0360640000000001</v>
      </c>
      <c r="G52" s="114">
        <v>1.7</v>
      </c>
      <c r="H52" s="114">
        <f t="shared" si="2"/>
        <v>0.49636600000000003</v>
      </c>
      <c r="I52" s="170">
        <f t="shared" si="3"/>
        <v>1.6171020000000003</v>
      </c>
    </row>
    <row r="53" spans="1:9">
      <c r="D53" s="110"/>
      <c r="F53" s="110"/>
      <c r="H53" s="110"/>
      <c r="I53" s="171"/>
    </row>
    <row r="54" spans="1:9" ht="15.75">
      <c r="A54" s="204"/>
      <c r="D54" s="110"/>
      <c r="F54" s="110"/>
      <c r="H54" s="110"/>
      <c r="I54" s="171"/>
    </row>
    <row r="55" spans="1:9">
      <c r="A55" s="205"/>
      <c r="B55" s="205"/>
      <c r="C55" s="110"/>
      <c r="D55" s="110"/>
      <c r="E55" s="110"/>
      <c r="F55" s="110"/>
      <c r="G55" s="110"/>
      <c r="H55" s="110"/>
      <c r="I55" s="171"/>
    </row>
  </sheetData>
  <sheetProtection password="C460" sheet="1" sort="0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4D718-7E9C-413A-95D8-0D503A9DE96F}">
  <dimension ref="A1:J7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/>
  <cols>
    <col min="1" max="1" width="24.33203125" customWidth="1"/>
    <col min="2" max="2" width="11" customWidth="1"/>
    <col min="3" max="3" width="12.44140625" style="30" customWidth="1"/>
    <col min="4" max="4" width="20.33203125" customWidth="1"/>
    <col min="5" max="6" width="16" customWidth="1"/>
    <col min="7" max="7" width="13" customWidth="1"/>
    <col min="8" max="9" width="20.5546875" customWidth="1"/>
    <col min="10" max="10" width="65.77734375" customWidth="1"/>
  </cols>
  <sheetData>
    <row r="1" spans="1:10" ht="16.5" thickBot="1">
      <c r="A1" s="11" t="s">
        <v>4</v>
      </c>
      <c r="B1" s="11" t="s">
        <v>8</v>
      </c>
      <c r="C1" s="28" t="s">
        <v>178</v>
      </c>
      <c r="D1" s="12" t="s">
        <v>179</v>
      </c>
      <c r="E1" s="12" t="s">
        <v>171</v>
      </c>
      <c r="F1" s="104" t="s">
        <v>231</v>
      </c>
      <c r="G1" s="12" t="s">
        <v>172</v>
      </c>
      <c r="H1" s="12" t="s">
        <v>173</v>
      </c>
      <c r="I1" s="104" t="s">
        <v>228</v>
      </c>
      <c r="J1" s="12" t="s">
        <v>164</v>
      </c>
    </row>
    <row r="2" spans="1:10" s="19" customFormat="1">
      <c r="A2" s="23" t="s">
        <v>189</v>
      </c>
      <c r="B2" s="23" t="s">
        <v>41</v>
      </c>
      <c r="C2" s="20" t="s">
        <v>180</v>
      </c>
      <c r="D2" s="13"/>
      <c r="E2" s="13"/>
      <c r="F2" s="13">
        <v>0.75</v>
      </c>
      <c r="G2" s="105" t="s">
        <v>229</v>
      </c>
      <c r="H2" s="13"/>
      <c r="I2" s="13"/>
      <c r="J2" s="105" t="s">
        <v>230</v>
      </c>
    </row>
    <row r="3" spans="1:10" s="19" customFormat="1">
      <c r="A3" s="27"/>
      <c r="B3" s="27"/>
      <c r="C3" s="22"/>
      <c r="D3" s="15"/>
      <c r="E3" s="15"/>
      <c r="F3" s="15"/>
      <c r="G3" s="15"/>
      <c r="H3" s="15"/>
      <c r="I3" s="15"/>
      <c r="J3" s="15"/>
    </row>
    <row r="4" spans="1:10" s="19" customFormat="1">
      <c r="A4" s="24" t="s">
        <v>61</v>
      </c>
      <c r="B4" s="24" t="s">
        <v>74</v>
      </c>
      <c r="C4" s="21" t="s">
        <v>180</v>
      </c>
      <c r="D4" s="19" t="s">
        <v>190</v>
      </c>
      <c r="E4" s="16">
        <v>1600</v>
      </c>
      <c r="F4" s="16"/>
      <c r="G4" s="16" t="s">
        <v>177</v>
      </c>
      <c r="H4" s="16">
        <f>GEOMEAN(E4:E25)</f>
        <v>6115.0718856521198</v>
      </c>
      <c r="I4" s="16"/>
      <c r="J4" s="16"/>
    </row>
    <row r="5" spans="1:10" s="19" customFormat="1">
      <c r="A5" s="24"/>
      <c r="B5" s="24"/>
      <c r="C5" s="21"/>
      <c r="D5" s="16"/>
      <c r="E5" s="16">
        <v>1600</v>
      </c>
      <c r="F5" s="16"/>
      <c r="G5" s="16"/>
      <c r="H5" s="16"/>
      <c r="I5" s="16"/>
      <c r="J5" s="16"/>
    </row>
    <row r="6" spans="1:10" s="19" customFormat="1">
      <c r="A6" s="24"/>
      <c r="B6" s="24"/>
      <c r="C6" s="21"/>
      <c r="D6" s="16"/>
      <c r="E6" s="16">
        <v>1700</v>
      </c>
      <c r="F6" s="16"/>
      <c r="G6" s="16"/>
      <c r="H6" s="16"/>
      <c r="I6" s="16"/>
      <c r="J6" s="16"/>
    </row>
    <row r="7" spans="1:10" s="19" customFormat="1">
      <c r="A7" s="24"/>
      <c r="B7" s="24"/>
      <c r="C7" s="21"/>
      <c r="D7" s="16"/>
      <c r="E7" s="16">
        <v>2800</v>
      </c>
      <c r="F7" s="16"/>
      <c r="G7" s="16"/>
      <c r="H7" s="16"/>
      <c r="I7" s="16"/>
      <c r="J7" s="16"/>
    </row>
    <row r="8" spans="1:10" s="19" customFormat="1">
      <c r="A8" s="24"/>
      <c r="B8" s="24"/>
      <c r="C8" s="21"/>
      <c r="D8" s="16"/>
      <c r="E8" s="16">
        <v>3100</v>
      </c>
      <c r="F8" s="16"/>
      <c r="G8" s="16"/>
      <c r="H8" s="16"/>
      <c r="I8" s="16"/>
      <c r="J8" s="16"/>
    </row>
    <row r="9" spans="1:10" s="19" customFormat="1">
      <c r="A9" s="24"/>
      <c r="B9" s="24"/>
      <c r="C9" s="21"/>
      <c r="D9" s="16"/>
      <c r="E9" s="16">
        <v>3100</v>
      </c>
      <c r="F9" s="16"/>
      <c r="G9" s="16"/>
      <c r="H9" s="16"/>
      <c r="I9" s="16"/>
      <c r="J9" s="16"/>
    </row>
    <row r="10" spans="1:10" s="19" customFormat="1">
      <c r="A10" s="24"/>
      <c r="B10" s="24"/>
      <c r="C10" s="21"/>
      <c r="D10" s="16"/>
      <c r="E10" s="16">
        <v>3600</v>
      </c>
      <c r="F10" s="16"/>
      <c r="G10" s="16"/>
      <c r="H10" s="16"/>
      <c r="I10" s="16"/>
      <c r="J10" s="16"/>
    </row>
    <row r="11" spans="1:10" s="19" customFormat="1">
      <c r="A11" s="24"/>
      <c r="B11" s="24"/>
      <c r="C11" s="21"/>
      <c r="D11" s="16"/>
      <c r="E11" s="16">
        <v>3900</v>
      </c>
      <c r="F11" s="16"/>
      <c r="G11" s="16"/>
      <c r="H11" s="16"/>
      <c r="I11" s="16"/>
      <c r="J11" s="16"/>
    </row>
    <row r="12" spans="1:10" s="19" customFormat="1">
      <c r="A12" s="24"/>
      <c r="B12" s="24"/>
      <c r="C12" s="21"/>
      <c r="D12" s="16"/>
      <c r="E12" s="16">
        <v>4300</v>
      </c>
      <c r="F12" s="16"/>
      <c r="G12" s="16"/>
      <c r="H12" s="16"/>
      <c r="I12" s="16"/>
      <c r="J12" s="16"/>
    </row>
    <row r="13" spans="1:10" s="19" customFormat="1">
      <c r="A13" s="24"/>
      <c r="B13" s="24"/>
      <c r="C13" s="21"/>
      <c r="D13" s="16"/>
      <c r="E13" s="16">
        <v>6300</v>
      </c>
      <c r="F13" s="16"/>
      <c r="G13" s="16"/>
      <c r="H13" s="16"/>
      <c r="I13" s="16"/>
      <c r="J13" s="16"/>
    </row>
    <row r="14" spans="1:10" s="19" customFormat="1">
      <c r="A14" s="24"/>
      <c r="B14" s="24"/>
      <c r="C14" s="21"/>
      <c r="D14" s="16"/>
      <c r="E14" s="16">
        <v>7500</v>
      </c>
      <c r="F14" s="16"/>
      <c r="G14" s="16"/>
      <c r="H14" s="16"/>
      <c r="I14" s="16"/>
      <c r="J14" s="16"/>
    </row>
    <row r="15" spans="1:10" s="19" customFormat="1">
      <c r="A15" s="24"/>
      <c r="B15" s="24"/>
      <c r="C15" s="21"/>
      <c r="D15" s="16"/>
      <c r="E15" s="16">
        <v>8000</v>
      </c>
      <c r="F15" s="16"/>
      <c r="G15" s="16"/>
      <c r="H15" s="16"/>
      <c r="I15" s="16"/>
      <c r="J15" s="16"/>
    </row>
    <row r="16" spans="1:10" s="19" customFormat="1">
      <c r="A16" s="24"/>
      <c r="B16" s="24"/>
      <c r="C16" s="21"/>
      <c r="D16" s="16"/>
      <c r="E16" s="16">
        <v>8900</v>
      </c>
      <c r="F16" s="16"/>
      <c r="G16" s="16"/>
      <c r="H16" s="16"/>
      <c r="I16" s="16"/>
      <c r="J16" s="16"/>
    </row>
    <row r="17" spans="1:10" s="19" customFormat="1">
      <c r="A17" s="24"/>
      <c r="B17" s="24"/>
      <c r="C17" s="21"/>
      <c r="D17" s="16"/>
      <c r="E17" s="16">
        <v>9700</v>
      </c>
      <c r="F17" s="16"/>
      <c r="G17" s="16"/>
      <c r="H17" s="16"/>
      <c r="I17" s="16"/>
      <c r="J17" s="16"/>
    </row>
    <row r="18" spans="1:10" s="19" customFormat="1">
      <c r="A18" s="24"/>
      <c r="B18" s="24"/>
      <c r="C18" s="21"/>
      <c r="D18" s="16"/>
      <c r="E18" s="16">
        <v>10500</v>
      </c>
      <c r="F18" s="16"/>
      <c r="G18" s="16"/>
      <c r="H18" s="16"/>
      <c r="I18" s="16"/>
      <c r="J18" s="16"/>
    </row>
    <row r="19" spans="1:10" s="19" customFormat="1">
      <c r="A19" s="24"/>
      <c r="B19" s="24"/>
      <c r="C19" s="21"/>
      <c r="D19" s="16"/>
      <c r="E19" s="16">
        <v>10500</v>
      </c>
      <c r="F19" s="16"/>
      <c r="G19" s="16"/>
      <c r="H19" s="16"/>
      <c r="I19" s="16"/>
      <c r="J19" s="16"/>
    </row>
    <row r="20" spans="1:10" s="19" customFormat="1">
      <c r="A20" s="24"/>
      <c r="B20" s="24"/>
      <c r="C20" s="21"/>
      <c r="D20" s="16"/>
      <c r="E20" s="16">
        <v>10500</v>
      </c>
      <c r="F20" s="16"/>
      <c r="G20" s="16"/>
      <c r="H20" s="16"/>
      <c r="I20" s="16"/>
      <c r="J20" s="16"/>
    </row>
    <row r="21" spans="1:10" s="19" customFormat="1">
      <c r="A21" s="24"/>
      <c r="B21" s="24"/>
      <c r="C21" s="21"/>
      <c r="D21" s="16"/>
      <c r="E21" s="16">
        <v>13100</v>
      </c>
      <c r="F21" s="16"/>
      <c r="G21" s="16"/>
      <c r="H21" s="16"/>
      <c r="I21" s="16"/>
      <c r="J21" s="16"/>
    </row>
    <row r="22" spans="1:10" s="19" customFormat="1">
      <c r="A22" s="24"/>
      <c r="B22" s="24"/>
      <c r="C22" s="21"/>
      <c r="D22" s="16"/>
      <c r="E22" s="16">
        <v>13900</v>
      </c>
      <c r="F22" s="16"/>
      <c r="G22" s="16"/>
      <c r="H22" s="16"/>
      <c r="I22" s="16"/>
      <c r="J22" s="16"/>
    </row>
    <row r="23" spans="1:10" s="19" customFormat="1">
      <c r="A23" s="24"/>
      <c r="B23" s="24"/>
      <c r="C23" s="21"/>
      <c r="D23" s="16"/>
      <c r="E23" s="16">
        <v>14500</v>
      </c>
      <c r="F23" s="16"/>
      <c r="G23" s="16"/>
      <c r="H23" s="16"/>
      <c r="I23" s="16"/>
      <c r="J23" s="16"/>
    </row>
    <row r="24" spans="1:10" s="19" customFormat="1">
      <c r="A24" s="24"/>
      <c r="B24" s="24"/>
      <c r="C24" s="21"/>
      <c r="D24" s="16"/>
      <c r="E24" s="16">
        <v>15000</v>
      </c>
      <c r="F24" s="16"/>
      <c r="G24" s="16"/>
      <c r="H24" s="16"/>
      <c r="I24" s="16"/>
      <c r="J24" s="16"/>
    </row>
    <row r="25" spans="1:10" s="19" customFormat="1">
      <c r="A25" s="24"/>
      <c r="B25" s="24"/>
      <c r="C25" s="21"/>
      <c r="D25" s="16"/>
      <c r="E25" s="16">
        <v>18900</v>
      </c>
      <c r="F25" s="16"/>
      <c r="G25" s="16"/>
      <c r="H25" s="16"/>
      <c r="I25" s="16"/>
      <c r="J25" s="16"/>
    </row>
    <row r="26" spans="1:10" s="19" customFormat="1">
      <c r="A26" s="24"/>
      <c r="B26" s="24"/>
      <c r="C26" s="21"/>
      <c r="D26" s="16"/>
      <c r="E26" s="16"/>
      <c r="F26" s="16"/>
      <c r="G26" s="16"/>
      <c r="H26" s="16"/>
      <c r="I26" s="16"/>
      <c r="J26" s="16"/>
    </row>
    <row r="27" spans="1:10" s="19" customFormat="1">
      <c r="A27" s="25" t="s">
        <v>85</v>
      </c>
      <c r="B27" s="25" t="s">
        <v>30</v>
      </c>
      <c r="C27" s="21" t="s">
        <v>181</v>
      </c>
      <c r="D27" s="19" t="s">
        <v>205</v>
      </c>
      <c r="E27" s="16">
        <v>10</v>
      </c>
      <c r="F27" s="16"/>
      <c r="G27" s="16" t="s">
        <v>177</v>
      </c>
      <c r="H27" s="16">
        <f>GEOMEAN(E27:E29)</f>
        <v>14.422495703074084</v>
      </c>
      <c r="I27" s="16"/>
      <c r="J27" s="16" t="s">
        <v>206</v>
      </c>
    </row>
    <row r="28" spans="1:10" s="19" customFormat="1">
      <c r="A28" s="25"/>
      <c r="B28" s="25"/>
      <c r="C28" s="21"/>
      <c r="D28" s="16"/>
      <c r="E28" s="16">
        <v>15</v>
      </c>
      <c r="F28" s="16"/>
      <c r="G28" s="16"/>
      <c r="H28" s="16"/>
      <c r="I28" s="16"/>
      <c r="J28" s="16"/>
    </row>
    <row r="29" spans="1:10" s="19" customFormat="1">
      <c r="A29" s="25"/>
      <c r="B29" s="25"/>
      <c r="C29" s="21"/>
      <c r="D29" s="16"/>
      <c r="E29" s="16">
        <v>20</v>
      </c>
      <c r="F29" s="16"/>
      <c r="G29" s="16"/>
      <c r="H29" s="16"/>
      <c r="I29" s="16"/>
      <c r="J29" s="16"/>
    </row>
    <row r="30" spans="1:10" s="19" customFormat="1">
      <c r="A30" s="25"/>
      <c r="B30" s="25"/>
      <c r="C30" s="21"/>
      <c r="D30" s="16"/>
      <c r="E30" s="16"/>
      <c r="F30" s="16"/>
      <c r="G30" s="16"/>
      <c r="H30" s="16"/>
      <c r="I30" s="16"/>
      <c r="J30" s="16"/>
    </row>
    <row r="31" spans="1:10" s="19" customFormat="1">
      <c r="A31" s="25" t="s">
        <v>6</v>
      </c>
      <c r="B31" s="25" t="s">
        <v>89</v>
      </c>
      <c r="C31" s="21" t="s">
        <v>181</v>
      </c>
      <c r="D31" s="16"/>
      <c r="E31" s="16"/>
      <c r="F31" s="16"/>
      <c r="G31" s="16"/>
      <c r="H31" s="16"/>
      <c r="I31" s="16"/>
      <c r="J31" s="16" t="s">
        <v>188</v>
      </c>
    </row>
    <row r="32" spans="1:10" s="19" customFormat="1">
      <c r="A32" s="25"/>
      <c r="B32" s="25"/>
      <c r="C32" s="21"/>
      <c r="D32" s="16"/>
      <c r="E32" s="16"/>
      <c r="F32" s="16"/>
      <c r="G32" s="16"/>
      <c r="H32" s="16"/>
      <c r="I32" s="16"/>
      <c r="J32" s="16"/>
    </row>
    <row r="33" spans="1:10" s="19" customFormat="1">
      <c r="A33" s="25" t="s">
        <v>94</v>
      </c>
      <c r="B33" s="25" t="s">
        <v>95</v>
      </c>
      <c r="C33" s="21" t="s">
        <v>181</v>
      </c>
      <c r="D33" s="19" t="s">
        <v>191</v>
      </c>
      <c r="E33" s="16">
        <v>278</v>
      </c>
      <c r="F33" s="16"/>
      <c r="G33" s="16" t="s">
        <v>177</v>
      </c>
      <c r="H33" s="16">
        <f>GEOMEAN(E33)</f>
        <v>278</v>
      </c>
      <c r="I33" s="16"/>
      <c r="J33" s="16" t="s">
        <v>192</v>
      </c>
    </row>
    <row r="34" spans="1:10" s="19" customFormat="1">
      <c r="A34" s="25"/>
      <c r="B34" s="25"/>
      <c r="C34" s="21"/>
      <c r="D34" s="16"/>
      <c r="E34" s="16"/>
      <c r="F34" s="16"/>
      <c r="G34" s="16"/>
      <c r="H34" s="16"/>
      <c r="I34" s="16"/>
      <c r="J34" s="16"/>
    </row>
    <row r="35" spans="1:10" s="19" customFormat="1">
      <c r="A35" s="25" t="s">
        <v>100</v>
      </c>
      <c r="B35" s="25" t="s">
        <v>101</v>
      </c>
      <c r="C35" s="21" t="s">
        <v>181</v>
      </c>
      <c r="D35" s="16"/>
      <c r="E35" s="16"/>
      <c r="F35" s="16">
        <v>1.62</v>
      </c>
      <c r="G35" s="107" t="s">
        <v>233</v>
      </c>
      <c r="H35" s="16"/>
      <c r="I35" s="16"/>
      <c r="J35" s="16" t="s">
        <v>188</v>
      </c>
    </row>
    <row r="36" spans="1:10" s="19" customFormat="1">
      <c r="A36" s="25"/>
      <c r="B36" s="25"/>
      <c r="C36" s="21"/>
      <c r="D36" s="16"/>
      <c r="E36" s="16"/>
      <c r="F36" s="16"/>
      <c r="G36" s="16"/>
      <c r="H36" s="16"/>
      <c r="I36" s="16"/>
      <c r="J36" s="16"/>
    </row>
    <row r="37" spans="1:10" s="19" customFormat="1">
      <c r="A37" s="25" t="s">
        <v>60</v>
      </c>
      <c r="B37" s="25" t="s">
        <v>106</v>
      </c>
      <c r="C37" s="21" t="s">
        <v>181</v>
      </c>
      <c r="D37" s="16"/>
      <c r="E37" s="16"/>
      <c r="F37" s="16">
        <v>2.83</v>
      </c>
      <c r="G37" s="107" t="s">
        <v>233</v>
      </c>
      <c r="H37" s="16"/>
      <c r="I37" s="16"/>
      <c r="J37" s="16" t="s">
        <v>188</v>
      </c>
    </row>
    <row r="38" spans="1:10" s="19" customFormat="1">
      <c r="A38" s="25"/>
      <c r="B38" s="25"/>
      <c r="C38" s="21"/>
      <c r="D38" s="15"/>
      <c r="E38" s="15"/>
      <c r="F38" s="15"/>
      <c r="G38" s="15"/>
      <c r="H38" s="15"/>
      <c r="I38" s="15"/>
      <c r="J38" s="16"/>
    </row>
    <row r="39" spans="1:10" s="19" customFormat="1">
      <c r="A39" s="25" t="s">
        <v>111</v>
      </c>
      <c r="B39" s="25" t="s">
        <v>112</v>
      </c>
      <c r="C39" s="21" t="s">
        <v>181</v>
      </c>
      <c r="D39" s="15"/>
      <c r="E39" s="15">
        <v>1013.21</v>
      </c>
      <c r="F39" s="15"/>
      <c r="G39" s="109" t="s">
        <v>234</v>
      </c>
      <c r="H39" s="15"/>
      <c r="I39" s="15"/>
      <c r="J39" s="16" t="s">
        <v>188</v>
      </c>
    </row>
    <row r="40" spans="1:10" s="19" customFormat="1">
      <c r="A40" s="26"/>
      <c r="B40" s="26"/>
      <c r="C40" s="22"/>
      <c r="D40" s="15"/>
      <c r="E40" s="15"/>
      <c r="F40" s="15"/>
      <c r="G40" s="15"/>
      <c r="H40" s="15"/>
      <c r="I40" s="15"/>
      <c r="J40" s="16"/>
    </row>
    <row r="41" spans="1:10" s="19" customFormat="1">
      <c r="A41" s="101" t="s">
        <v>175</v>
      </c>
      <c r="B41" s="101" t="s">
        <v>174</v>
      </c>
      <c r="C41" s="17" t="s">
        <v>181</v>
      </c>
      <c r="D41" s="15" t="s">
        <v>176</v>
      </c>
      <c r="E41" s="15">
        <v>1.7</v>
      </c>
      <c r="F41" s="15"/>
      <c r="G41" s="15" t="s">
        <v>177</v>
      </c>
      <c r="H41" s="101">
        <f>GEOMEAN(E41:E48)</f>
        <v>8.3754351553641797</v>
      </c>
      <c r="I41" s="15"/>
      <c r="J41" s="16"/>
    </row>
    <row r="42" spans="1:10">
      <c r="A42" s="14"/>
      <c r="B42" s="14"/>
      <c r="C42" s="18"/>
      <c r="D42" s="14"/>
      <c r="E42" s="14">
        <v>2.2000000000000002</v>
      </c>
      <c r="F42" s="14"/>
      <c r="G42" s="14"/>
      <c r="H42" s="14"/>
      <c r="I42" s="14"/>
      <c r="J42" s="14"/>
    </row>
    <row r="43" spans="1:10">
      <c r="A43" s="14"/>
      <c r="B43" s="14"/>
      <c r="C43" s="18"/>
      <c r="D43" s="14"/>
      <c r="E43" s="14">
        <v>3.6</v>
      </c>
      <c r="F43" s="14"/>
      <c r="G43" s="14"/>
      <c r="H43" s="14"/>
      <c r="I43" s="14"/>
      <c r="J43" s="14"/>
    </row>
    <row r="44" spans="1:10">
      <c r="A44" s="14"/>
      <c r="B44" s="14"/>
      <c r="C44" s="18"/>
      <c r="D44" s="14"/>
      <c r="E44" s="14">
        <v>8.6999999999999993</v>
      </c>
      <c r="F44" s="14"/>
      <c r="G44" s="14"/>
      <c r="H44" s="14"/>
      <c r="I44" s="14"/>
      <c r="J44" s="14"/>
    </row>
    <row r="45" spans="1:10">
      <c r="A45" s="14"/>
      <c r="B45" s="14"/>
      <c r="C45" s="18"/>
      <c r="D45" s="14"/>
      <c r="E45" s="14">
        <v>10.8</v>
      </c>
      <c r="F45" s="14"/>
      <c r="G45" s="14"/>
      <c r="H45" s="14"/>
      <c r="I45" s="14"/>
      <c r="J45" s="14"/>
    </row>
    <row r="46" spans="1:10">
      <c r="A46" s="14"/>
      <c r="B46" s="14"/>
      <c r="C46" s="18"/>
      <c r="D46" s="14"/>
      <c r="E46" s="14">
        <v>22</v>
      </c>
      <c r="F46" s="14"/>
      <c r="G46" s="14"/>
      <c r="H46" s="14"/>
      <c r="I46" s="14"/>
      <c r="J46" s="14"/>
    </row>
    <row r="47" spans="1:10">
      <c r="A47" s="14"/>
      <c r="B47" s="14"/>
      <c r="C47" s="18"/>
      <c r="D47" s="14"/>
      <c r="E47" s="14">
        <v>25</v>
      </c>
      <c r="F47" s="14"/>
      <c r="G47" s="14"/>
      <c r="H47" s="14"/>
      <c r="I47" s="14"/>
      <c r="J47" s="14"/>
    </row>
    <row r="48" spans="1:10">
      <c r="A48" s="14"/>
      <c r="B48" s="14"/>
      <c r="C48" s="18"/>
      <c r="D48" s="14"/>
      <c r="E48" s="14">
        <v>34.799999999999997</v>
      </c>
      <c r="F48" s="14"/>
      <c r="G48" s="14"/>
      <c r="H48" s="14"/>
      <c r="I48" s="14"/>
      <c r="J48" s="14"/>
    </row>
    <row r="49" spans="1:10">
      <c r="A49" s="14"/>
      <c r="B49" s="14"/>
      <c r="C49" s="29"/>
      <c r="D49" s="14"/>
      <c r="E49" s="14"/>
      <c r="F49" s="14"/>
      <c r="G49" s="14"/>
      <c r="H49" s="14"/>
      <c r="I49" s="14"/>
      <c r="J49" s="14"/>
    </row>
    <row r="50" spans="1:10">
      <c r="A50" s="102" t="s">
        <v>182</v>
      </c>
      <c r="B50" s="102" t="s">
        <v>183</v>
      </c>
      <c r="C50" s="18" t="s">
        <v>181</v>
      </c>
      <c r="D50" s="19" t="s">
        <v>193</v>
      </c>
      <c r="E50" s="14">
        <v>100</v>
      </c>
      <c r="F50" s="106"/>
      <c r="G50" s="15" t="s">
        <v>177</v>
      </c>
      <c r="H50" s="108">
        <f>GEOMEAN(E50:E57)</f>
        <v>159.55343603388272</v>
      </c>
      <c r="I50" s="14"/>
      <c r="J50" s="16" t="s">
        <v>194</v>
      </c>
    </row>
    <row r="51" spans="1:10" s="3" customFormat="1">
      <c r="A51" s="31"/>
      <c r="B51" s="31"/>
      <c r="C51" s="32"/>
      <c r="D51" s="14"/>
      <c r="E51" s="33">
        <v>100</v>
      </c>
      <c r="F51" s="33"/>
      <c r="G51" s="33"/>
      <c r="H51" s="33"/>
      <c r="I51" s="33"/>
      <c r="J51" s="31"/>
    </row>
    <row r="52" spans="1:10" s="3" customFormat="1">
      <c r="A52" s="31"/>
      <c r="B52" s="31"/>
      <c r="C52" s="32"/>
      <c r="D52" s="14"/>
      <c r="E52" s="33">
        <v>100</v>
      </c>
      <c r="F52" s="33"/>
      <c r="G52" s="33"/>
      <c r="H52" s="33"/>
      <c r="I52" s="33"/>
      <c r="J52" s="31"/>
    </row>
    <row r="53" spans="1:10" s="3" customFormat="1">
      <c r="A53" s="31"/>
      <c r="B53" s="31"/>
      <c r="C53" s="32"/>
      <c r="D53" s="14"/>
      <c r="E53" s="33">
        <v>100</v>
      </c>
      <c r="F53" s="33"/>
      <c r="G53" s="33"/>
      <c r="H53" s="33"/>
      <c r="I53" s="33"/>
      <c r="J53" s="31"/>
    </row>
    <row r="54" spans="1:10" s="3" customFormat="1">
      <c r="A54" s="31"/>
      <c r="B54" s="31"/>
      <c r="C54" s="32"/>
      <c r="D54" s="14"/>
      <c r="E54" s="33">
        <v>100</v>
      </c>
      <c r="F54" s="33"/>
      <c r="G54" s="33"/>
      <c r="H54" s="33"/>
      <c r="I54" s="33"/>
      <c r="J54" s="31"/>
    </row>
    <row r="55" spans="1:10" s="3" customFormat="1">
      <c r="A55" s="31"/>
      <c r="B55" s="31"/>
      <c r="C55" s="32"/>
      <c r="D55" s="14"/>
      <c r="E55" s="33">
        <v>100</v>
      </c>
      <c r="F55" s="33"/>
      <c r="G55" s="33"/>
      <c r="H55" s="33"/>
      <c r="I55" s="33"/>
      <c r="J55" s="31"/>
    </row>
    <row r="56" spans="1:10" s="3" customFormat="1">
      <c r="A56" s="31"/>
      <c r="B56" s="31"/>
      <c r="C56" s="32"/>
      <c r="D56" s="14"/>
      <c r="E56" s="33">
        <v>600</v>
      </c>
      <c r="F56" s="33"/>
      <c r="G56" s="33"/>
      <c r="H56" s="33"/>
      <c r="I56" s="33"/>
      <c r="J56" s="31"/>
    </row>
    <row r="57" spans="1:10" s="3" customFormat="1">
      <c r="A57" s="31"/>
      <c r="B57" s="31"/>
      <c r="C57" s="32"/>
      <c r="D57" s="14"/>
      <c r="E57" s="33">
        <v>700</v>
      </c>
      <c r="F57" s="33"/>
      <c r="G57" s="33"/>
      <c r="H57" s="33"/>
      <c r="I57" s="33"/>
      <c r="J57" s="31"/>
    </row>
    <row r="58" spans="1:10">
      <c r="A58" s="14"/>
      <c r="B58" s="14"/>
      <c r="C58" s="29"/>
      <c r="D58" s="14"/>
      <c r="E58" s="14"/>
      <c r="F58" s="14"/>
      <c r="G58" s="14"/>
      <c r="H58" s="14"/>
      <c r="I58" s="14"/>
      <c r="J58" s="14"/>
    </row>
    <row r="59" spans="1:10">
      <c r="A59" s="102" t="s">
        <v>184</v>
      </c>
      <c r="B59" s="102" t="s">
        <v>185</v>
      </c>
      <c r="C59" s="18" t="s">
        <v>180</v>
      </c>
      <c r="D59" s="14"/>
      <c r="E59" s="14"/>
      <c r="F59" s="108">
        <v>3.12</v>
      </c>
      <c r="G59" s="107" t="s">
        <v>233</v>
      </c>
      <c r="H59" s="14"/>
      <c r="I59" s="14"/>
      <c r="J59" s="16" t="s">
        <v>188</v>
      </c>
    </row>
    <row r="60" spans="1:10">
      <c r="A60" s="14"/>
      <c r="B60" s="14"/>
      <c r="C60" s="29"/>
      <c r="D60" s="14"/>
      <c r="E60" s="14"/>
      <c r="F60" s="14"/>
      <c r="G60" s="14"/>
      <c r="H60" s="14"/>
      <c r="I60" s="14"/>
      <c r="J60" s="14"/>
    </row>
    <row r="61" spans="1:10">
      <c r="A61" s="102" t="s">
        <v>186</v>
      </c>
      <c r="B61" s="102" t="s">
        <v>187</v>
      </c>
      <c r="C61" s="18" t="s">
        <v>181</v>
      </c>
      <c r="D61" s="19" t="s">
        <v>195</v>
      </c>
      <c r="E61" s="14">
        <v>0.21</v>
      </c>
      <c r="F61" s="106"/>
      <c r="G61" s="15" t="s">
        <v>177</v>
      </c>
      <c r="H61" s="108">
        <f>GEOMEAN(E61:E72)</f>
        <v>0.31935037516357329</v>
      </c>
      <c r="I61" s="14"/>
      <c r="J61" s="14"/>
    </row>
    <row r="62" spans="1:10" s="3" customFormat="1">
      <c r="A62" s="31"/>
      <c r="B62" s="31"/>
      <c r="C62" s="32"/>
      <c r="D62" s="14"/>
      <c r="E62" s="33">
        <v>0.21</v>
      </c>
      <c r="F62" s="33"/>
      <c r="G62" s="33"/>
      <c r="H62" s="33"/>
      <c r="I62" s="33"/>
      <c r="J62" s="33"/>
    </row>
    <row r="63" spans="1:10" s="3" customFormat="1">
      <c r="A63" s="31"/>
      <c r="B63" s="31"/>
      <c r="C63" s="32"/>
      <c r="D63" s="14"/>
      <c r="E63" s="33">
        <v>0.21</v>
      </c>
      <c r="F63" s="33"/>
      <c r="G63" s="33"/>
      <c r="H63" s="33"/>
      <c r="I63" s="33"/>
      <c r="J63" s="33"/>
    </row>
    <row r="64" spans="1:10" s="3" customFormat="1">
      <c r="A64" s="31"/>
      <c r="B64" s="31"/>
      <c r="C64" s="32"/>
      <c r="D64" s="14"/>
      <c r="E64" s="33">
        <v>0.21</v>
      </c>
      <c r="F64" s="33"/>
      <c r="G64" s="33"/>
      <c r="H64" s="33"/>
      <c r="I64" s="33"/>
      <c r="J64" s="33"/>
    </row>
    <row r="65" spans="1:10" s="3" customFormat="1">
      <c r="A65" s="31"/>
      <c r="B65" s="31"/>
      <c r="C65" s="32"/>
      <c r="D65" s="14"/>
      <c r="E65" s="33">
        <v>0.22</v>
      </c>
      <c r="F65" s="33"/>
      <c r="G65" s="33"/>
      <c r="H65" s="33"/>
      <c r="I65" s="33"/>
      <c r="J65" s="33"/>
    </row>
    <row r="66" spans="1:10" s="3" customFormat="1">
      <c r="A66" s="31"/>
      <c r="B66" s="31"/>
      <c r="C66" s="32"/>
      <c r="D66" s="14"/>
      <c r="E66" s="33">
        <v>0.27</v>
      </c>
      <c r="F66" s="33"/>
      <c r="G66" s="33"/>
      <c r="H66" s="33"/>
      <c r="I66" s="33"/>
      <c r="J66" s="33"/>
    </row>
    <row r="67" spans="1:10" s="3" customFormat="1">
      <c r="A67" s="31"/>
      <c r="B67" s="31"/>
      <c r="C67" s="32"/>
      <c r="D67" s="14"/>
      <c r="E67" s="33">
        <v>0.33</v>
      </c>
      <c r="F67" s="33"/>
      <c r="G67" s="33"/>
      <c r="H67" s="33"/>
      <c r="I67" s="33"/>
      <c r="J67" s="33"/>
    </row>
    <row r="68" spans="1:10" s="3" customFormat="1">
      <c r="A68" s="31"/>
      <c r="B68" s="31"/>
      <c r="C68" s="32"/>
      <c r="D68" s="14"/>
      <c r="E68" s="33">
        <v>0.4</v>
      </c>
      <c r="F68" s="33"/>
      <c r="G68" s="33"/>
      <c r="H68" s="33"/>
      <c r="I68" s="33"/>
      <c r="J68" s="33"/>
    </row>
    <row r="69" spans="1:10" s="3" customFormat="1">
      <c r="A69" s="31"/>
      <c r="B69" s="31"/>
      <c r="C69" s="32"/>
      <c r="D69" s="14"/>
      <c r="E69" s="33">
        <v>0.42</v>
      </c>
      <c r="F69" s="33"/>
      <c r="G69" s="33"/>
      <c r="H69" s="33"/>
      <c r="I69" s="33"/>
      <c r="J69" s="33"/>
    </row>
    <row r="70" spans="1:10" s="3" customFormat="1">
      <c r="A70" s="31"/>
      <c r="B70" s="31"/>
      <c r="C70" s="32"/>
      <c r="D70" s="14"/>
      <c r="E70" s="33">
        <v>0.48</v>
      </c>
      <c r="F70" s="33"/>
      <c r="G70" s="33"/>
      <c r="H70" s="33"/>
      <c r="I70" s="33"/>
      <c r="J70" s="33"/>
    </row>
    <row r="71" spans="1:10" s="3" customFormat="1">
      <c r="A71" s="31"/>
      <c r="B71" s="31"/>
      <c r="C71" s="32"/>
      <c r="D71" s="14"/>
      <c r="E71" s="33">
        <v>0.6</v>
      </c>
      <c r="F71" s="33"/>
      <c r="G71" s="33"/>
      <c r="H71" s="33"/>
      <c r="I71" s="33"/>
      <c r="J71" s="33"/>
    </row>
    <row r="72" spans="1:10" s="3" customFormat="1">
      <c r="A72" s="31"/>
      <c r="B72" s="31"/>
      <c r="C72" s="32"/>
      <c r="D72" s="14"/>
      <c r="E72" s="33">
        <v>0.61</v>
      </c>
      <c r="F72" s="33"/>
      <c r="G72" s="33"/>
      <c r="H72" s="33"/>
      <c r="I72" s="33"/>
      <c r="J72" s="33"/>
    </row>
  </sheetData>
  <sheetProtection password="C460" sheet="1" sort="0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5EA7-4466-4A0E-ACCA-5345B77F33B2}">
  <dimension ref="A1:D6"/>
  <sheetViews>
    <sheetView workbookViewId="0">
      <selection activeCell="B28" sqref="B28"/>
    </sheetView>
  </sheetViews>
  <sheetFormatPr defaultRowHeight="15"/>
  <cols>
    <col min="1" max="1" width="8.88671875" customWidth="1"/>
  </cols>
  <sheetData>
    <row r="1" spans="1:4">
      <c r="A1" t="s">
        <v>255</v>
      </c>
      <c r="D1" s="120" t="s">
        <v>254</v>
      </c>
    </row>
    <row r="2" spans="1:4">
      <c r="B2" s="120" t="s">
        <v>257</v>
      </c>
      <c r="D2" s="120"/>
    </row>
    <row r="3" spans="1:4">
      <c r="B3" s="120" t="s">
        <v>256</v>
      </c>
      <c r="D3" s="120"/>
    </row>
    <row r="4" spans="1:4">
      <c r="A4" t="s">
        <v>258</v>
      </c>
      <c r="B4" s="120"/>
      <c r="D4" s="120" t="s">
        <v>204</v>
      </c>
    </row>
    <row r="5" spans="1:4">
      <c r="A5" t="s">
        <v>259</v>
      </c>
      <c r="B5" s="120" t="s">
        <v>260</v>
      </c>
    </row>
    <row r="6" spans="1:4">
      <c r="A6" t="s">
        <v>261</v>
      </c>
      <c r="C6" s="120" t="s">
        <v>262</v>
      </c>
    </row>
  </sheetData>
  <sheetProtection password="C460" sheet="1"/>
  <hyperlinks>
    <hyperlink ref="D1" r:id="rId1" location="hhtable" xr:uid="{50CCB96A-91DA-4599-8CE7-76F9489C28E3}"/>
    <hyperlink ref="B3" r:id="rId2" xr:uid="{391DCE85-CBA4-4AAA-9E0F-187292CD3CA0}"/>
    <hyperlink ref="B2" r:id="rId3" xr:uid="{7E07DF4E-B7FE-4E4C-BE2E-DB50518640C7}"/>
    <hyperlink ref="C6" r:id="rId4" xr:uid="{C7639EC2-EC4B-4CC7-85F5-52BE8815DCED}"/>
    <hyperlink ref="B5" r:id="rId5" xr:uid="{42A5480E-9371-412C-A210-A68CEF28F25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2026 Noncarcinogens</vt:lpstr>
      <vt:lpstr>2026 Carcinogens</vt:lpstr>
      <vt:lpstr>BCF BAF Info</vt:lpstr>
      <vt:lpstr>EPA BAFs June 2015</vt:lpstr>
      <vt:lpstr>geomean for BCFs</vt:lpstr>
      <vt:lpstr>References</vt:lpstr>
      <vt:lpstr>'2026 Carcinogens'!Print_Titles</vt:lpstr>
    </vt:vector>
  </TitlesOfParts>
  <Manager>Water Quality Standards Team</Manager>
  <Company>TCEQ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2: Calculation Spreadsheet</dc:title>
  <dc:subject>Tables of carcinogens and non-carcinogenic chemicals.</dc:subject>
  <dc:creator>TCEQ</dc:creator>
  <cp:keywords>water quality standards; surface water quality standards; tswqs; swqs; wqs</cp:keywords>
  <cp:lastModifiedBy>WQPD Web Admin</cp:lastModifiedBy>
  <cp:lastPrinted>2011-03-31T16:28:12Z</cp:lastPrinted>
  <dcterms:created xsi:type="dcterms:W3CDTF">2005-09-15T20:18:50Z</dcterms:created>
  <dcterms:modified xsi:type="dcterms:W3CDTF">2025-03-19T19:04:23Z</dcterms:modified>
  <cp:category>Texas Surface Water Quality Standards</cp:category>
</cp:coreProperties>
</file>